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130" activeTab="0"/>
  </bookViews>
  <sheets>
    <sheet name="Titullapa" sheetId="1" r:id="rId1"/>
    <sheet name="Saturs" sheetId="2" r:id="rId2"/>
    <sheet name="1.1" sheetId="3" r:id="rId3"/>
    <sheet name="1.2" sheetId="4" r:id="rId4"/>
    <sheet name="1.3_1.4" sheetId="5" r:id="rId5"/>
    <sheet name="1.4_turp" sheetId="6" r:id="rId6"/>
    <sheet name="1.5" sheetId="7" r:id="rId7"/>
    <sheet name="2" sheetId="8" r:id="rId8"/>
    <sheet name="2.1" sheetId="9" r:id="rId9"/>
    <sheet name="2.1_turp" sheetId="10" r:id="rId10"/>
    <sheet name="2.2" sheetId="11" r:id="rId11"/>
    <sheet name="2.3" sheetId="12" r:id="rId12"/>
    <sheet name="2.4" sheetId="13" r:id="rId13"/>
    <sheet name="2.5" sheetId="14" r:id="rId14"/>
    <sheet name="2.6" sheetId="15" r:id="rId15"/>
    <sheet name="2.7" sheetId="16" r:id="rId16"/>
    <sheet name="3" sheetId="17" r:id="rId17"/>
    <sheet name="3.1" sheetId="18" r:id="rId18"/>
    <sheet name="3.1.1_3.1.2" sheetId="19" r:id="rId19"/>
    <sheet name="3.1.3" sheetId="20" r:id="rId20"/>
    <sheet name="3.1.4" sheetId="21" r:id="rId21"/>
    <sheet name="3.1.5" sheetId="22" r:id="rId22"/>
    <sheet name="3.2" sheetId="23" r:id="rId23"/>
    <sheet name="4" sheetId="24" r:id="rId24"/>
    <sheet name="5" sheetId="25" r:id="rId25"/>
    <sheet name="6" sheetId="26" r:id="rId26"/>
  </sheets>
  <definedNames>
    <definedName name="_xlnm.Print_Area" localSheetId="2">'1.1'!$A$1:$G$23</definedName>
    <definedName name="_xlnm.Print_Area" localSheetId="3">'1.2'!$A$1:$G$24</definedName>
    <definedName name="_xlnm.Print_Area" localSheetId="4">'1.3_1.4'!$A$1:$G$35</definedName>
    <definedName name="_xlnm.Print_Area" localSheetId="5">'1.4_turp'!$A$1:$G$36</definedName>
    <definedName name="_xlnm.Print_Area" localSheetId="7">'2'!$A$1:$L$52</definedName>
    <definedName name="_xlnm.Print_Area" localSheetId="8">'2.1'!$A$1:$M$39</definedName>
    <definedName name="_xlnm.Print_Area" localSheetId="9">'2.1_turp'!$A$1:$M$23</definedName>
    <definedName name="_xlnm.Print_Area" localSheetId="10">'2.2'!$A$1:$L$27</definedName>
    <definedName name="_xlnm.Print_Area" localSheetId="11">'2.3'!$A$1:$L$24</definedName>
    <definedName name="_xlnm.Print_Area" localSheetId="12">'2.4'!$A$1:$L$36</definedName>
    <definedName name="_xlnm.Print_Area" localSheetId="13">'2.5'!$A$1:$L$26</definedName>
    <definedName name="_xlnm.Print_Area" localSheetId="14">'2.6'!$A$1:$L$77</definedName>
    <definedName name="_xlnm.Print_Area" localSheetId="15">'2.7'!$A$1:$M$55</definedName>
    <definedName name="_xlnm.Print_Area" localSheetId="16">'3'!$A$1:$G$21</definedName>
    <definedName name="_xlnm.Print_Area" localSheetId="18">'3.1.1_3.1.2'!$A$1:$H$67</definedName>
    <definedName name="_xlnm.Print_Area" localSheetId="19">'3.1.3'!$A$1:$F$34</definedName>
    <definedName name="_xlnm.Print_Area" localSheetId="20">'3.1.4'!$A$1:$G$86</definedName>
    <definedName name="_xlnm.Print_Area" localSheetId="21">'3.1.5'!$A$1:$G$51</definedName>
    <definedName name="_xlnm.Print_Area" localSheetId="23">'4'!$A$1:$H$59</definedName>
  </definedNames>
  <calcPr fullCalcOnLoad="1"/>
</workbook>
</file>

<file path=xl/sharedStrings.xml><?xml version="1.0" encoding="utf-8"?>
<sst xmlns="http://schemas.openxmlformats.org/spreadsheetml/2006/main" count="3559" uniqueCount="1346">
  <si>
    <t xml:space="preserve">                              </t>
  </si>
  <si>
    <t xml:space="preserve">         Ministru kabineta</t>
  </si>
  <si>
    <t xml:space="preserve">       </t>
  </si>
  <si>
    <t xml:space="preserve">Latvijas Republikas </t>
  </si>
  <si>
    <t>Labklājības ministrijai</t>
  </si>
  <si>
    <t>Skolas ielā 28, Rīgā, LV-1331</t>
  </si>
  <si>
    <t>Reģistrācijas numurs Sociālo pakalpojumu sniedzēju reģistrā</t>
  </si>
  <si>
    <t>Adrese</t>
  </si>
  <si>
    <t xml:space="preserve">                          (vārds, uzvārds)</t>
  </si>
  <si>
    <t>Fakss</t>
  </si>
  <si>
    <t>2. pielikums</t>
  </si>
  <si>
    <t>Iesniedz pašvaldību sociālie dienesti</t>
  </si>
  <si>
    <t>PĀRSKATS PAR SOCIĀLAJIEM PAKALPOJUMIEM</t>
  </si>
  <si>
    <t xml:space="preserve">UN SOCIĀLO PALĪDZĪBU  </t>
  </si>
  <si>
    <t>Novada vai pilsētas domes adrese</t>
  </si>
  <si>
    <t xml:space="preserve">           VALSTS STATISTIKAS PĀRSKATS</t>
  </si>
  <si>
    <t>Nr.p.k.</t>
  </si>
  <si>
    <t>Nosaukums</t>
  </si>
  <si>
    <t>Ziņas par darbiniekiem pašvaldības institūcijās, kas sniedz sociālos pakalpojumus un sociālo palīdzību</t>
  </si>
  <si>
    <t>To pašvaldības institūciju darbinieku skaits pārskata gada beigās, kuras sniedz sociālos pakalpojumus un sociālo palīdzību</t>
  </si>
  <si>
    <t>Sociālā dienesta (bez sociālo pakalpojumu sniedzējiem institūcijās, kuras ir sociālā dienesta struktūrvienības) vadītāja un sociālā darba speciālistu izglītība pārskata gada beigās</t>
  </si>
  <si>
    <t>Sociālā dienesta (bez sociālo pakalpojumu sniedzējiem institūcijās, kuras ir sociālā dienesta struktūrvienības) darbinieku kvalifikācijas celšana pārskata gada laikā</t>
  </si>
  <si>
    <t>Sociālā dienesta (bez sociālo pakalpojumu sniedzējiem institūcijās, kuras ir sociālā dienesta struktūrvienības) sociālā darba speciālistu supervīzija pārskata gada laikā</t>
  </si>
  <si>
    <t>Ziņas par visiem no pašvaldības budžeta nodrošinātajiem sociālajiem pakalpojumiem (bez sociālā darba) – kopā</t>
  </si>
  <si>
    <t>Aprūpes mājās sociālie pakalpojumi</t>
  </si>
  <si>
    <t>Ilgstošas sociālās aprūpes un sociālās rehabilitācijas institūciju sniegtie sociālie pakalpojumi</t>
  </si>
  <si>
    <t>Patversmju un naktspatversmju sniegtie sociālie pakalpojumi</t>
  </si>
  <si>
    <t>Dienas aprūpes centru sniegtie sociālie pakalpojumi</t>
  </si>
  <si>
    <t>Krīzes centru sniegtie, krīzes tālruņa un uzticības tālruņa nodrošinātie sociālie pakalpojumi</t>
  </si>
  <si>
    <t>Citi Sociālo pakalpojumu un sociālās palīdzības likumā noteiktie sociālie pakalpojumi</t>
  </si>
  <si>
    <t>Pārējie sociālie pakalpojumi</t>
  </si>
  <si>
    <t>Ziņas par pašvaldības sociālo palīdzību – kopā</t>
  </si>
  <si>
    <t>Ienākumu testētie pašvaldības sociālās palīdzības pabalsti</t>
  </si>
  <si>
    <t>Citi ārējos tiesību aktos noteiktie pašvaldības sociālās palīdzības pabalsti (sociālās garantijas bāreņiem un audžuģimenēm)</t>
  </si>
  <si>
    <t>Pašvaldības budžeta izdevumi sociālā atbalsta pasākumiem</t>
  </si>
  <si>
    <t>1.1.</t>
  </si>
  <si>
    <t>1.2.</t>
  </si>
  <si>
    <t>1.3.</t>
  </si>
  <si>
    <t>1.4.</t>
  </si>
  <si>
    <t>1.5.</t>
  </si>
  <si>
    <t>2.1.</t>
  </si>
  <si>
    <t>2.2.</t>
  </si>
  <si>
    <t>2.3.</t>
  </si>
  <si>
    <t>2.4.</t>
  </si>
  <si>
    <t>2.5.</t>
  </si>
  <si>
    <t>2.6.</t>
  </si>
  <si>
    <t>2.7.</t>
  </si>
  <si>
    <t>3.1.</t>
  </si>
  <si>
    <t>3.2.</t>
  </si>
  <si>
    <t>3.1.1.</t>
  </si>
  <si>
    <t>3.1.2.</t>
  </si>
  <si>
    <t>3.1.3.</t>
  </si>
  <si>
    <t>3.1.4.</t>
  </si>
  <si>
    <t>3.1.5.</t>
  </si>
  <si>
    <t>4.</t>
  </si>
  <si>
    <t>1.</t>
  </si>
  <si>
    <t>2.</t>
  </si>
  <si>
    <t>3.</t>
  </si>
  <si>
    <t xml:space="preserve">            SATURS</t>
  </si>
  <si>
    <t>1.1. To pašvaldības institūciju darbinieku skaits pārskata gada beigās, kuras sniedz sociālos pakalpojumus un sociālo palīdzību</t>
  </si>
  <si>
    <t>Kods</t>
  </si>
  <si>
    <t>Mērvienība</t>
  </si>
  <si>
    <t>Vērtība</t>
  </si>
  <si>
    <t xml:space="preserve">Rādītājs </t>
  </si>
  <si>
    <t>Darbinieki pašvaldības institūcijās, kas sniedz sociālos pakalpojumus un sociālo palīdzību</t>
  </si>
  <si>
    <t>kopā</t>
  </si>
  <si>
    <t>t.sk. sociālā darba speciālisti institūcijās, kuras sniedz sociālos pakalpojumus</t>
  </si>
  <si>
    <t>personu skaits</t>
  </si>
  <si>
    <t>t.sk. sociālā dienesta darbinieki</t>
  </si>
  <si>
    <t>t.sk. sociālo pakalpojumu sniedzēju institūciju darbinieki, ja sociālo pakalpojumu sniedzējs ir sociālā dienesta struktūrvienība</t>
  </si>
  <si>
    <t>sociālā darba speciālisti</t>
  </si>
  <si>
    <t>t.sk. sociālā darba speciālisti institūcijā, kas sniedz sociālos pakalpojumus un ir sociālā dienesta struktūrvienība</t>
  </si>
  <si>
    <t>sociālie darbinieki</t>
  </si>
  <si>
    <t>t.sk. sociālie darbinieki institūcijā, kas sniedz sociālos pakalpojumus un ir sociālā dienesta struktūrvienība</t>
  </si>
  <si>
    <t>no tiem</t>
  </si>
  <si>
    <t>darbam ar ģimenēm ar bērniem</t>
  </si>
  <si>
    <t>darbam ar pilngadīgām personām</t>
  </si>
  <si>
    <t>pārējie</t>
  </si>
  <si>
    <t>sociālās palīdzības organizatori</t>
  </si>
  <si>
    <t>sociālie aprūpētāji</t>
  </si>
  <si>
    <t>t.sk. sociālie aprūpētāji institūcijā, kas sniedz sociālos pakalpojumus un ir sociālā dienesta struktūrvienība</t>
  </si>
  <si>
    <t>sociālie rehabilitētāji</t>
  </si>
  <si>
    <t>t.sk. sociālie rehabilitētāji institūcijā, kas sniedz sociālos pakalpojumus un ir sociālā dienesta struktūrvienība</t>
  </si>
  <si>
    <t>citu profesiju pārstāvji</t>
  </si>
  <si>
    <t>t.sk. citu profesiju pārstāvji institūcijā, kas sniedz sociālos pakalpojumus un ir sociālā dienesta struktūrvienība</t>
  </si>
  <si>
    <t>t.sk.sadarbojas ar klientu</t>
  </si>
  <si>
    <t>t.sk. citu profesiju pārstāvji, kuri sadarbojas ar klientu institūcijā, kas sniedz sociālos pakalpojumus un ir sociālā dienesta struktūrvienība</t>
  </si>
  <si>
    <t>1. Ziņas par darbiniekiem pašvaldības institūcijās, kas sniedz sociālos pakalpojumus un sociālo palīdzību</t>
  </si>
  <si>
    <t>1.2. Sociālā dienesta (bez sociālo pakalpojumu sniedzējiem institūcijās, kuras ir sociālā dienesta struktūrvienības) vadītāja un sociālā darba speciālistu izglītība pārskata gada beigās</t>
  </si>
  <si>
    <t>ar otrā līmeņa profesionālo augstāko vai akadēmisko izglītību sociālajā darbā vai karitatīvajā sociālajā darbā</t>
  </si>
  <si>
    <t>ar pirmā līmeņa profesionālo augstāko izglītību – kopā</t>
  </si>
  <si>
    <t>ar sociālās palīdzības organizatora izglītību</t>
  </si>
  <si>
    <t>ar sociālā aprūpētāja izglītību</t>
  </si>
  <si>
    <t> ar sociālā rehabilitētāja izglītību</t>
  </si>
  <si>
    <t>t.sk. iegūst otrā līmeņa profesionālo augstāko vai akadēmisko izglītību sociālajā darbā vai karitatīvajā sociālajā darbā</t>
  </si>
  <si>
    <t>iegūst pirmā līmeņa profesionālo augstāko izglītību – kopā</t>
  </si>
  <si>
    <t>sociālās palīdzības organizācijas programmā</t>
  </si>
  <si>
    <t>sociālās aprūpes programmā</t>
  </si>
  <si>
    <t>iegūst otrā līmeņa profesionālo augstāko vai akadēmisko izglītību sociālajā darbā vai karitatīvajā sociālajā darbā</t>
  </si>
  <si>
    <t>t.sk. profesionālā vidējā izglītība sociālās aprūpes jomā</t>
  </si>
  <si>
    <t>otrā līmeņa profesionālā augstākā vai akadēmiskā izglītība citā profesijā</t>
  </si>
  <si>
    <t>otrā līmeņa profesionālā augstākā vai akadēmiskā izglītība sociālajā darbā vai karitatīvajā sociālajā darbā</t>
  </si>
  <si>
    <t>atzīmēt atbilstošo</t>
  </si>
  <si>
    <t>1.3. Sociālā dienesta (bez sociālo pakalpojumu sniedzējiem, kas ir sociālā dienesta struktūrvienība) darbinieku kvalifikācijas celšana pārskata gada laikā</t>
  </si>
  <si>
    <t>ir paaugstināta kvalifikācija</t>
  </si>
  <si>
    <t>no tām</t>
  </si>
  <si>
    <t>nav paaugstināta kvalifikācija</t>
  </si>
  <si>
    <t>t.sk. kvalifikācija paaugstināta pēdējo triju gadu laikā</t>
  </si>
  <si>
    <t>Sociālā dienesta vadītāja un sociālo darbinieku kvalifikācijas paaugstināšana</t>
  </si>
  <si>
    <t>8 stundas gadā</t>
  </si>
  <si>
    <t>līdz 8 stundām gadā</t>
  </si>
  <si>
    <t>virs 8 stundām gadā</t>
  </si>
  <si>
    <t>Sociālās palīdzības organizatoru, sociālo aprūpētāju un sociālo rehabilitētāju kvalifikācijas paaugstināšana</t>
  </si>
  <si>
    <t> Aprūpētāju kvalifikācijas paaugstināšana</t>
  </si>
  <si>
    <t>Pārējo darbinieku, kuri strādā ar klientu, kvalifikācijas paaugstināšana</t>
  </si>
  <si>
    <t>1.4. Sociālā dienesta (bez sociālo pakalpojumu sniedzējiem, kas ir sociālā dienesta struktūrvienība) sociālā darba speciālistu supervīzija pārskata gada laikā</t>
  </si>
  <si>
    <t> Sociālo darbinieku supervīzija</t>
  </si>
  <si>
    <t>ir saņēmis supervīziju</t>
  </si>
  <si>
    <t>nav saņēmis supervīziju</t>
  </si>
  <si>
    <t> Sociālās palīdzības organizatoru supervīzija</t>
  </si>
  <si>
    <t> Sociālo aprūpētāju supervīzija</t>
  </si>
  <si>
    <t> Sociālo rehabilitētāju supervīzija</t>
  </si>
  <si>
    <t>no tā</t>
  </si>
  <si>
    <t>2. Ziņas par visiem no pašvaldības budžeta nodrošinātajiem sociālajiem pakalpojumiem (bez sociālā darba) - kopā</t>
  </si>
  <si>
    <t>Rādītājs</t>
  </si>
  <si>
    <t>Savas pašvaldības institūciju nodrošinātie sociālie pakalpojumi</t>
  </si>
  <si>
    <t>Pašvaldība pērk sociālos pakalpojumus</t>
  </si>
  <si>
    <t>no citas pašvaldības</t>
  </si>
  <si>
    <t>no nevalstiskajām organizācijām</t>
  </si>
  <si>
    <t>no privātpersonām</t>
  </si>
  <si>
    <t>savas pašvaldības teritorijā</t>
  </si>
  <si>
    <t>ārpus savas pašvaldības teritorijas</t>
  </si>
  <si>
    <t>Visi pašvaldības sociālie pakalpojumi - kopā</t>
  </si>
  <si>
    <t>sociālo pakalpojumu sniedzēji pārskata gada beigās</t>
  </si>
  <si>
    <t xml:space="preserve">t.sk. pārskata gada laikā pašvaldības izveidotās sociālo pakalpojumu sniedzēju institūcijas </t>
  </si>
  <si>
    <t>t.sk. sociālo pakalpojumu sniedzēji institūcijās, kas ir sociālā dienesta struktūrvienības</t>
  </si>
  <si>
    <t>darbinieki pārskata gada beigās - kopā</t>
  </si>
  <si>
    <t>t.sk. sociālā darba speciālisti</t>
  </si>
  <si>
    <t>izlietotie līdzekļi</t>
  </si>
  <si>
    <t>pakalpojumus saņēmušie klienti - kopā</t>
  </si>
  <si>
    <t>bērni</t>
  </si>
  <si>
    <t>pilngadīgas personas</t>
  </si>
  <si>
    <t>vīrieši</t>
  </si>
  <si>
    <t>sievietes</t>
  </si>
  <si>
    <t>institūciju skaits</t>
  </si>
  <si>
    <t>X</t>
  </si>
  <si>
    <t>Ja pašvaldībā ir sociālo pakalpojumu sniedzējs - institūcija, kas ir sociālā dienesta struktūrvienība, tad par katru šādu sociālo pakalpojumu sniedzēju papildus jānorāda šāda informācija:</t>
  </si>
  <si>
    <t>Sociālo pakalpojumu veids</t>
  </si>
  <si>
    <t>Darbinieku skaits - kopā</t>
  </si>
  <si>
    <t>t.sk. sociālā darba speciālistu skaits</t>
  </si>
  <si>
    <t>2.1. Aprūpes mājās sociālie pakalpojumi</t>
  </si>
  <si>
    <t>Aprūpes mājās sociālie pakalpojumi - kopā</t>
  </si>
  <si>
    <t>t.sk. klienti, kuriem pakalpojumu pilnībā vai daļēji apmaksā pašvaldība</t>
  </si>
  <si>
    <t>klienta aprūpe</t>
  </si>
  <si>
    <t>aprūpētāji</t>
  </si>
  <si>
    <t>pakalpojumu sniedzējam</t>
  </si>
  <si>
    <t>aprūpētājam</t>
  </si>
  <si>
    <t>bērni ar invaliditāti</t>
  </si>
  <si>
    <t>pilngadīgas personas ar invaliditāti</t>
  </si>
  <si>
    <t>t.sk. personas ar garīga rakstura traucējumiem</t>
  </si>
  <si>
    <t>pensijas vecuma personas</t>
  </si>
  <si>
    <t>citas personas</t>
  </si>
  <si>
    <t>pakalpojumu saņēmušie klienti - kopā</t>
  </si>
  <si>
    <t>t.sk.bērni ar garīga rakstura traucējumiem</t>
  </si>
  <si>
    <t>materiāls atbalsts aprūpējamajam</t>
  </si>
  <si>
    <t>t.sk.personas, kurām vides nepieejamības vai cita iemesla dēļ nav pārvietošanās iespēju ārpus mājas</t>
  </si>
  <si>
    <t>veselības stāvokļa dēļ gulošas personas</t>
  </si>
  <si>
    <t>personas, kurām nav atbilstošu tehnisko palīglīdzekļu</t>
  </si>
  <si>
    <t>personas, kuras vides nepieejamības dēļ nevar pārvietoties, izmantojot tehniskos palīglīdzekļus</t>
  </si>
  <si>
    <t>personas, kurām atteikts pakalpojums - kopā</t>
  </si>
  <si>
    <t>no tām - pa atteikuma iemesliem</t>
  </si>
  <si>
    <t>neatbilstība kritērijiem</t>
  </si>
  <si>
    <t>finanšu līdzekļu trūkums</t>
  </si>
  <si>
    <t>personas, kuras pārskata gada beigās atrodas rindā uz pakalpojuma saņemšanu</t>
  </si>
  <si>
    <t>2.1. Aprūpes mājās sociālie pakalpojumi - turpinājums</t>
  </si>
  <si>
    <t>citi sociālie pakalpojumi aprūpei mājās - kopā</t>
  </si>
  <si>
    <t>pakalpojumu saņēmušie klienti</t>
  </si>
  <si>
    <t>nodrošināšana ar drošības pogu</t>
  </si>
  <si>
    <t>pavadoņa - asistenta pakalpojumi</t>
  </si>
  <si>
    <t>apmaksātas siltas pusdienas mājās</t>
  </si>
  <si>
    <t>apmaksāta veļas mazgāšana</t>
  </si>
  <si>
    <t>citu veidu pakalpojumi</t>
  </si>
  <si>
    <t>Ilgstošas sociālās aprūpes un sociālās rehabilitācijas institūciju sniegtie sociālie pakalpojumi - kopā</t>
  </si>
  <si>
    <t>pakalpojumus saņēmušie klienti</t>
  </si>
  <si>
    <t>Patversmju un naktspatversmju sniegtie sociālie pakalpojumi - kopā</t>
  </si>
  <si>
    <t>Dienas aprūpes centru sniegtie sociālie pakalpojumi - kopā</t>
  </si>
  <si>
    <t>Krīzes tālruņa un uzticības tālruņa nodrošinātie sociālie pakalpojumi</t>
  </si>
  <si>
    <r>
      <t xml:space="preserve">Servisa dzīvokļa nodrošinātie sociālie pakalpojumi </t>
    </r>
    <r>
      <rPr>
        <sz val="10"/>
        <rFont val="Times New Roman"/>
        <family val="1"/>
      </rPr>
      <t>(personām ar smagiem funkcionāliem traucējumiem)</t>
    </r>
  </si>
  <si>
    <r>
      <t xml:space="preserve">Pusceļa mājas nodrošinātie sociālie pakalpojumi </t>
    </r>
    <r>
      <rPr>
        <sz val="10"/>
        <rFont val="Times New Roman"/>
        <family val="1"/>
      </rPr>
      <t>(personām ar garīga rakstura traucējumiem)</t>
    </r>
  </si>
  <si>
    <r>
      <t xml:space="preserve">Grupu mājas (dzīvokļa) nodrošinātie sociālie pakalpojumi </t>
    </r>
    <r>
      <rPr>
        <sz val="10"/>
        <rFont val="Times New Roman"/>
        <family val="1"/>
      </rPr>
      <t>(personām ar garīga rakstura traucējumiem)</t>
    </r>
  </si>
  <si>
    <r>
      <t xml:space="preserve">Specializēto darbnīcu nodrošinātie sociālie pakalpojumi </t>
    </r>
    <r>
      <rPr>
        <sz val="10"/>
        <rFont val="Times New Roman"/>
        <family val="1"/>
      </rPr>
      <t>(personām ar redzes un dzirdes invaliditāti, personām ar garīga rakstura traucējumiem)</t>
    </r>
  </si>
  <si>
    <t>Personām pēc brīvības atņemšanas soda izciešanas nodrošinātie sociālie pakalpojumi</t>
  </si>
  <si>
    <t>Pārējie pašvaldības sociālie pakalpojumi - kopā</t>
  </si>
  <si>
    <t>bērniem</t>
  </si>
  <si>
    <t>personas, kurām atteikts pakalpojums</t>
  </si>
  <si>
    <t>pilngadīgām personām</t>
  </si>
  <si>
    <t xml:space="preserve">pakalpojumus saņēmušie klienti </t>
  </si>
  <si>
    <t xml:space="preserve">pakalpojumu saņēmušie klienti </t>
  </si>
  <si>
    <r>
      <t xml:space="preserve">dienas aprūpes centru sniegtie sociālie pakalpojumi personām </t>
    </r>
    <r>
      <rPr>
        <b/>
        <sz val="10"/>
        <rFont val="Times New Roman"/>
        <family val="1"/>
      </rPr>
      <t>ar garīga rakstura traucējumiem</t>
    </r>
  </si>
  <si>
    <r>
      <t xml:space="preserve">dienas aprūpes centru sniegtie sociālie pakalpojumi personām </t>
    </r>
    <r>
      <rPr>
        <b/>
        <sz val="10"/>
        <rFont val="Times New Roman"/>
        <family val="1"/>
      </rPr>
      <t>ar fiziska rakstura traucējumiem</t>
    </r>
  </si>
  <si>
    <r>
      <t xml:space="preserve">dienas aprūpes centru sniegtie sociālie pakalpojumi </t>
    </r>
    <r>
      <rPr>
        <b/>
        <sz val="10"/>
        <rFont val="Times New Roman"/>
        <family val="1"/>
      </rPr>
      <t>bērniem ar invaliditāti</t>
    </r>
  </si>
  <si>
    <r>
      <t xml:space="preserve">dienas aprūpes centru sniegtie sociālie pakalpojumi </t>
    </r>
    <r>
      <rPr>
        <b/>
        <sz val="10"/>
        <rFont val="Times New Roman"/>
        <family val="1"/>
      </rPr>
      <t>bērniem no trūcīgām ģimenēm un ģimenēm, kurās ir bērna attīstībai nelabvēlīgi apstākļi</t>
    </r>
  </si>
  <si>
    <r>
      <t xml:space="preserve">dienas aprūpes centru sniegtie sociālie pakalpojumi </t>
    </r>
    <r>
      <rPr>
        <b/>
        <sz val="10"/>
        <rFont val="Times New Roman"/>
        <family val="1"/>
      </rPr>
      <t>pensijas vecuma personām</t>
    </r>
  </si>
  <si>
    <r>
      <t>pārējo</t>
    </r>
    <r>
      <rPr>
        <sz val="10"/>
        <rFont val="Times New Roman"/>
        <family val="1"/>
      </rPr>
      <t xml:space="preserve"> dienas aprūpes centru sniegtie sociālie pakalpojumi </t>
    </r>
  </si>
  <si>
    <r>
      <t xml:space="preserve">ilgstošas sociālās aprūpes un sociālās rehabilitācijas institūciju </t>
    </r>
    <r>
      <rPr>
        <b/>
        <sz val="10"/>
        <rFont val="Times New Roman"/>
        <family val="1"/>
      </rPr>
      <t>pilngadīgām personām</t>
    </r>
    <r>
      <rPr>
        <sz val="10"/>
        <rFont val="Times New Roman"/>
        <family val="1"/>
      </rPr>
      <t xml:space="preserve"> sniegtie sociālie pakalpojumi</t>
    </r>
  </si>
  <si>
    <r>
      <t xml:space="preserve">ilgstošas sociālās aprūpes un sociālās rehabilitācijas institūciju </t>
    </r>
    <r>
      <rPr>
        <b/>
        <sz val="10"/>
        <rFont val="Times New Roman"/>
        <family val="1"/>
      </rPr>
      <t>bērniem</t>
    </r>
    <r>
      <rPr>
        <sz val="10"/>
        <rFont val="Times New Roman"/>
        <family val="1"/>
      </rPr>
      <t xml:space="preserve"> sniegtie sociālie pakalpojumi</t>
    </r>
  </si>
  <si>
    <r>
      <t xml:space="preserve">ilgstošas sociālās aprūpes un sociālās rehabilitācijas institūciju </t>
    </r>
    <r>
      <rPr>
        <b/>
        <sz val="10"/>
        <rFont val="Times New Roman"/>
        <family val="1"/>
      </rPr>
      <t>pilngadīgām personām un bērniem</t>
    </r>
    <r>
      <rPr>
        <sz val="10"/>
        <rFont val="Times New Roman"/>
        <family val="1"/>
      </rPr>
      <t xml:space="preserve"> sniegtie sociālie pakalpojumi</t>
    </r>
  </si>
  <si>
    <r>
      <t xml:space="preserve">patversmes un naktspatversmes </t>
    </r>
    <r>
      <rPr>
        <b/>
        <sz val="10"/>
        <rFont val="Times New Roman"/>
        <family val="1"/>
      </rPr>
      <t>pilngadīgām personām</t>
    </r>
    <r>
      <rPr>
        <sz val="10"/>
        <rFont val="Times New Roman"/>
        <family val="1"/>
      </rPr>
      <t xml:space="preserve"> sniegtie sociālie pakalpojumi</t>
    </r>
  </si>
  <si>
    <r>
      <t xml:space="preserve">patversmes un naktspatversmes sniegtie sociālie pakalpojumi </t>
    </r>
    <r>
      <rPr>
        <b/>
        <sz val="10"/>
        <rFont val="Times New Roman"/>
        <family val="1"/>
      </rPr>
      <t>ģimenēm ar bērniem</t>
    </r>
  </si>
  <si>
    <r>
      <t xml:space="preserve">sociālās rehabilitācijas pakalpojumi </t>
    </r>
    <r>
      <rPr>
        <b/>
        <sz val="10"/>
        <rFont val="Times New Roman"/>
        <family val="1"/>
      </rPr>
      <t>no psihoaktīvām vielām atkarīgām personām</t>
    </r>
    <r>
      <rPr>
        <sz val="10"/>
        <rFont val="Times New Roman"/>
        <family val="1"/>
      </rPr>
      <t xml:space="preserve"> - kopā</t>
    </r>
  </si>
  <si>
    <r>
      <t xml:space="preserve">sociālās rehabilitācijas pakalpojumi </t>
    </r>
    <r>
      <rPr>
        <b/>
        <sz val="10"/>
        <rFont val="Times New Roman"/>
        <family val="1"/>
      </rPr>
      <t>no prettiesiskām darbībām cietušiem bērniem</t>
    </r>
  </si>
  <si>
    <r>
      <t xml:space="preserve">sociālās rehabilitācijas pakalpojumi </t>
    </r>
    <r>
      <rPr>
        <b/>
        <sz val="10"/>
        <rFont val="Times New Roman"/>
        <family val="1"/>
      </rPr>
      <t>cilvēku tirdzniecības upuriem</t>
    </r>
  </si>
  <si>
    <r>
      <t xml:space="preserve">citi </t>
    </r>
    <r>
      <rPr>
        <sz val="10"/>
        <rFont val="Times New Roman"/>
        <family val="1"/>
      </rPr>
      <t>sociālie pakalpojumi</t>
    </r>
  </si>
  <si>
    <t>3. Ziņas par pašvaldības sociālo palīdzību - kopā</t>
  </si>
  <si>
    <t>Visi pašvaldības sociālās palīdzības pabalsti - kopā</t>
  </si>
  <si>
    <t>izlietotie līdzekļi - kopā</t>
  </si>
  <si>
    <t>naudā</t>
  </si>
  <si>
    <t>natūrā</t>
  </si>
  <si>
    <t xml:space="preserve">vīrieši </t>
  </si>
  <si>
    <t>t.sk.bērni ar invaliditāti</t>
  </si>
  <si>
    <t>pilngadīgas darbspējīgas personas</t>
  </si>
  <si>
    <t>strādājošas personas</t>
  </si>
  <si>
    <t>nestrādājošas personas</t>
  </si>
  <si>
    <t>personas bērna kopšanas atvaļinājumā</t>
  </si>
  <si>
    <t>1.4. Sociālā dienesta (bez sociālo pakalpojumu sniedzējiem, kas ir sociālā dienesta struktūrvienība) sociālā darba speciālistu supervīzija pārskata gada laikā - turpinājums</t>
  </si>
  <si>
    <t>2.2. Ilgstošas sociālās aprūpes un sociālās rehabilitācijas institūciju sniegtie sociālie pakalpojumi</t>
  </si>
  <si>
    <t>2.3. Patversmju un naktspatversmju sniegtie sociālie pakalpojumi</t>
  </si>
  <si>
    <t>2.4. Dienas aprūpes centru sniegtie sociālie pakalpojumi</t>
  </si>
  <si>
    <t>2.5. Krīzes centru sniegtie, krīzes tālruņa un uzticības tālruņa nodrošinātie sociālie pakalpojumi</t>
  </si>
  <si>
    <t>2.6. Citi Sociālo pakalpojumu un sociālās palīdzības likumā noteiktie sociālie pakalpojumi</t>
  </si>
  <si>
    <t>2.7. Pārējie sociālie pakalpojumi</t>
  </si>
  <si>
    <t>Ģimene, kurā ir bērni un viena vai vairākas pilngadīgas darbspējīgas personas</t>
  </si>
  <si>
    <t>Ģimene, kurā ir bērni un nav nevienas pilngadīgas darbspējīgas personas</t>
  </si>
  <si>
    <t>Ģimene, kurā nav bērnu un ir viena vai vairākas pilngadīgas darbspējīgas personas</t>
  </si>
  <si>
    <t>Ģimene, kurā nav bērnu un nav nevienas pilngadīgas darbspējīgas personas</t>
  </si>
  <si>
    <t>Izlietotie līdzekļi - kopā</t>
  </si>
  <si>
    <t>personas, kurām atteikts pabalsts</t>
  </si>
  <si>
    <t>t.sk.personām ar invaliditāti kopš bērnības izlietotie līdzekļi</t>
  </si>
  <si>
    <t>personas</t>
  </si>
  <si>
    <t>vienreizējs pabalsts patstāvīgas dzīves uzsākšanai</t>
  </si>
  <si>
    <t>vienreizējs pabalsts sadzīves priekšmetu un mīkstā inventāra iegādei</t>
  </si>
  <si>
    <t>ikmēneša izdevumu segšana, ja persona turpina mācības</t>
  </si>
  <si>
    <t>psihosociāls un materiāls atbalsts pilngadību sasniegušā bērna integrēšanai sabiedrībā</t>
  </si>
  <si>
    <t>t.sk.bērni</t>
  </si>
  <si>
    <t>ikmēneša pabalsts bērna uzturam</t>
  </si>
  <si>
    <t>pabalsts apģērba un mīkstā inventāra iegādei</t>
  </si>
  <si>
    <r>
      <t xml:space="preserve">pabalsts </t>
    </r>
    <r>
      <rPr>
        <b/>
        <sz val="10"/>
        <rFont val="Times New Roman"/>
        <family val="1"/>
      </rPr>
      <t>audžuģimenei</t>
    </r>
    <r>
      <rPr>
        <sz val="10"/>
        <rFont val="Times New Roman"/>
        <family val="1"/>
      </rPr>
      <t xml:space="preserve"> - kopā</t>
    </r>
  </si>
  <si>
    <t>sociālā palīdzība</t>
  </si>
  <si>
    <t>citi atbalsta pasākumi un kompensācijas iedzīvotājiem</t>
  </si>
  <si>
    <t>Pašvaldības nodrošināto sociālo pakalpojumu sniedzēju institūciju uzturēšanas izdevumi</t>
  </si>
  <si>
    <t>(amats)</t>
  </si>
  <si>
    <t>(vārds, uzvārds)</t>
  </si>
  <si>
    <t>(paraksts)</t>
  </si>
  <si>
    <t>Kontaktinformācija</t>
  </si>
  <si>
    <t>Datums</t>
  </si>
  <si>
    <t>___________________________</t>
  </si>
  <si>
    <t>Saskaņots</t>
  </si>
  <si>
    <t>Novada/pilsētas domes priekšsēdētājs  _______________________________               __________________</t>
  </si>
  <si>
    <t xml:space="preserve">      tālrunis</t>
  </si>
  <si>
    <t xml:space="preserve">      e-pasts</t>
  </si>
  <si>
    <r>
      <t xml:space="preserve">Piezīme. Dokumenta rekvizītus "Paraksts" un "Datums" neaizpilda, ja elektroniskais dokuments ir sagatavots atbilstoši normatīvajiem aktiem </t>
    </r>
    <r>
      <rPr>
        <u val="single"/>
        <sz val="9"/>
        <rFont val="Times New Roman"/>
        <family val="1"/>
      </rPr>
      <t>par elektronisko dokumentu noformēšanu</t>
    </r>
    <r>
      <rPr>
        <sz val="9"/>
        <rFont val="Times New Roman"/>
        <family val="1"/>
      </rPr>
      <t>.</t>
    </r>
  </si>
  <si>
    <t>sociālās rehabilitācijas programmā</t>
  </si>
  <si>
    <r>
      <t xml:space="preserve">Sociālā darba speciālisti (bez sociālā dienesta vadītāja) ar </t>
    </r>
    <r>
      <rPr>
        <b/>
        <sz val="10"/>
        <rFont val="Times New Roman"/>
        <family val="1"/>
      </rPr>
      <t>augstāko izglītību</t>
    </r>
    <r>
      <rPr>
        <sz val="10"/>
        <rFont val="Times New Roman"/>
        <family val="1"/>
      </rPr>
      <t xml:space="preserve"> – kopā</t>
    </r>
  </si>
  <si>
    <r>
      <t xml:space="preserve">ar otrā līmeņa profesionālo augstāko vai akadēmisko izglītību </t>
    </r>
    <r>
      <rPr>
        <b/>
        <sz val="10"/>
        <rFont val="Times New Roman"/>
        <family val="1"/>
      </rPr>
      <t xml:space="preserve">citā profesijā </t>
    </r>
    <r>
      <rPr>
        <sz val="10"/>
        <rFont val="Times New Roman"/>
        <family val="1"/>
      </rPr>
      <t>– kopā</t>
    </r>
  </si>
  <si>
    <r>
      <t xml:space="preserve">Speciālisti (bez sociālā dienesta vadītāja) ar profesionālo </t>
    </r>
    <r>
      <rPr>
        <b/>
        <sz val="10"/>
        <rFont val="Times New Roman"/>
        <family val="1"/>
      </rPr>
      <t>vidējo izglītību</t>
    </r>
    <r>
      <rPr>
        <sz val="10"/>
        <rFont val="Times New Roman"/>
        <family val="1"/>
      </rPr>
      <t xml:space="preserve"> vai vispārējo </t>
    </r>
    <r>
      <rPr>
        <b/>
        <sz val="10"/>
        <rFont val="Times New Roman"/>
        <family val="1"/>
      </rPr>
      <t>vidējo izglītību</t>
    </r>
    <r>
      <rPr>
        <sz val="10"/>
        <rFont val="Times New Roman"/>
        <family val="1"/>
      </rPr>
      <t xml:space="preserve"> – kopā</t>
    </r>
  </si>
  <si>
    <r>
      <t>Sociālā dienesta</t>
    </r>
    <r>
      <rPr>
        <b/>
        <sz val="10"/>
        <rFont val="Times New Roman"/>
        <family val="1"/>
      </rPr>
      <t xml:space="preserve"> vadītāja</t>
    </r>
    <r>
      <rPr>
        <sz val="10"/>
        <rFont val="Times New Roman"/>
        <family val="1"/>
      </rPr>
      <t xml:space="preserve"> izglītība</t>
    </r>
  </si>
  <si>
    <t>1111</t>
  </si>
  <si>
    <t>111</t>
  </si>
  <si>
    <t>1211</t>
  </si>
  <si>
    <t>1212</t>
  </si>
  <si>
    <t>12121</t>
  </si>
  <si>
    <t>12122</t>
  </si>
  <si>
    <t>12123</t>
  </si>
  <si>
    <t>12124</t>
  </si>
  <si>
    <t>1213</t>
  </si>
  <si>
    <t>122</t>
  </si>
  <si>
    <t>1231</t>
  </si>
  <si>
    <t>1232</t>
  </si>
  <si>
    <t>1221</t>
  </si>
  <si>
    <t>1222</t>
  </si>
  <si>
    <t>12211</t>
  </si>
  <si>
    <t>12212</t>
  </si>
  <si>
    <t>12213</t>
  </si>
  <si>
    <t>1223</t>
  </si>
  <si>
    <t>12131</t>
  </si>
  <si>
    <t>121311</t>
  </si>
  <si>
    <t>121312</t>
  </si>
  <si>
    <t>121313</t>
  </si>
  <si>
    <t>12132</t>
  </si>
  <si>
    <t>1301</t>
  </si>
  <si>
    <t>1302</t>
  </si>
  <si>
    <t>1304</t>
  </si>
  <si>
    <t>1305</t>
  </si>
  <si>
    <t>1307</t>
  </si>
  <si>
    <t>1308</t>
  </si>
  <si>
    <t>1309</t>
  </si>
  <si>
    <t>1310</t>
  </si>
  <si>
    <t>1311</t>
  </si>
  <si>
    <t>1312</t>
  </si>
  <si>
    <t>13011</t>
  </si>
  <si>
    <t>13012</t>
  </si>
  <si>
    <t>13013</t>
  </si>
  <si>
    <t>13041</t>
  </si>
  <si>
    <t>13071</t>
  </si>
  <si>
    <t>13072</t>
  </si>
  <si>
    <t>13073</t>
  </si>
  <si>
    <t>13042</t>
  </si>
  <si>
    <t>13043</t>
  </si>
  <si>
    <t>1411</t>
  </si>
  <si>
    <t>1412</t>
  </si>
  <si>
    <t>141111</t>
  </si>
  <si>
    <t>141112</t>
  </si>
  <si>
    <t>141113</t>
  </si>
  <si>
    <t>141121</t>
  </si>
  <si>
    <t>141122</t>
  </si>
  <si>
    <t>141123</t>
  </si>
  <si>
    <t>1421</t>
  </si>
  <si>
    <t>1422</t>
  </si>
  <si>
    <t>1431</t>
  </si>
  <si>
    <t>1432</t>
  </si>
  <si>
    <t>1441</t>
  </si>
  <si>
    <t>1442</t>
  </si>
  <si>
    <t>142111</t>
  </si>
  <si>
    <t>142112</t>
  </si>
  <si>
    <t>142113</t>
  </si>
  <si>
    <t>142121</t>
  </si>
  <si>
    <t>142122</t>
  </si>
  <si>
    <t>142123</t>
  </si>
  <si>
    <t>143111</t>
  </si>
  <si>
    <t>143112</t>
  </si>
  <si>
    <t>143113</t>
  </si>
  <si>
    <t>143121</t>
  </si>
  <si>
    <t>143122</t>
  </si>
  <si>
    <t>143123</t>
  </si>
  <si>
    <t>144111</t>
  </si>
  <si>
    <t>144112</t>
  </si>
  <si>
    <t>144113</t>
  </si>
  <si>
    <t>144121</t>
  </si>
  <si>
    <t>144122</t>
  </si>
  <si>
    <t>144123</t>
  </si>
  <si>
    <t>21411</t>
  </si>
  <si>
    <t>21412</t>
  </si>
  <si>
    <t>21421</t>
  </si>
  <si>
    <t>21422</t>
  </si>
  <si>
    <t>2143</t>
  </si>
  <si>
    <t>2111</t>
  </si>
  <si>
    <t>2112</t>
  </si>
  <si>
    <t>21131</t>
  </si>
  <si>
    <t>21132</t>
  </si>
  <si>
    <t>21133</t>
  </si>
  <si>
    <t>2114</t>
  </si>
  <si>
    <t>211411</t>
  </si>
  <si>
    <t>211412</t>
  </si>
  <si>
    <t>211421</t>
  </si>
  <si>
    <t>211422</t>
  </si>
  <si>
    <t>211413</t>
  </si>
  <si>
    <t>2114131</t>
  </si>
  <si>
    <t>211423</t>
  </si>
  <si>
    <t>2114231</t>
  </si>
  <si>
    <t>211424</t>
  </si>
  <si>
    <t>21143</t>
  </si>
  <si>
    <t>21144</t>
  </si>
  <si>
    <t>211441</t>
  </si>
  <si>
    <t>211442</t>
  </si>
  <si>
    <t>211443</t>
  </si>
  <si>
    <t>2115</t>
  </si>
  <si>
    <t>21151</t>
  </si>
  <si>
    <t>21152</t>
  </si>
  <si>
    <t>2116</t>
  </si>
  <si>
    <t>2117</t>
  </si>
  <si>
    <t>2118</t>
  </si>
  <si>
    <t>2119</t>
  </si>
  <si>
    <t>21191</t>
  </si>
  <si>
    <t>21192</t>
  </si>
  <si>
    <t>2125</t>
  </si>
  <si>
    <t>2126</t>
  </si>
  <si>
    <t>2221</t>
  </si>
  <si>
    <t>223</t>
  </si>
  <si>
    <t>224</t>
  </si>
  <si>
    <t>22411</t>
  </si>
  <si>
    <t>22412</t>
  </si>
  <si>
    <t>22421</t>
  </si>
  <si>
    <t>22422</t>
  </si>
  <si>
    <t>22423</t>
  </si>
  <si>
    <t>225</t>
  </si>
  <si>
    <t>2251</t>
  </si>
  <si>
    <t>2252</t>
  </si>
  <si>
    <t>226</t>
  </si>
  <si>
    <t>2271</t>
  </si>
  <si>
    <t>2272</t>
  </si>
  <si>
    <t>2273</t>
  </si>
  <si>
    <t>2281</t>
  </si>
  <si>
    <t>2282</t>
  </si>
  <si>
    <t>2283</t>
  </si>
  <si>
    <t>2291</t>
  </si>
  <si>
    <t>2292</t>
  </si>
  <si>
    <t>2293</t>
  </si>
  <si>
    <t>233</t>
  </si>
  <si>
    <t>23411</t>
  </si>
  <si>
    <t>23412</t>
  </si>
  <si>
    <t>23421</t>
  </si>
  <si>
    <t>23422</t>
  </si>
  <si>
    <t>2343</t>
  </si>
  <si>
    <t>2351</t>
  </si>
  <si>
    <t>235</t>
  </si>
  <si>
    <t>2352</t>
  </si>
  <si>
    <t>236</t>
  </si>
  <si>
    <t>2501</t>
  </si>
  <si>
    <t>2502</t>
  </si>
  <si>
    <t>25021</t>
  </si>
  <si>
    <t>2503</t>
  </si>
  <si>
    <t>2504</t>
  </si>
  <si>
    <t>250411</t>
  </si>
  <si>
    <t>250412</t>
  </si>
  <si>
    <t>250421</t>
  </si>
  <si>
    <t>250422</t>
  </si>
  <si>
    <t>2505</t>
  </si>
  <si>
    <t>25051</t>
  </si>
  <si>
    <t>25052</t>
  </si>
  <si>
    <t>2506</t>
  </si>
  <si>
    <t>2507</t>
  </si>
  <si>
    <t>2508</t>
  </si>
  <si>
    <t>2509</t>
  </si>
  <si>
    <t>2510</t>
  </si>
  <si>
    <t>2611</t>
  </si>
  <si>
    <t>2642</t>
  </si>
  <si>
    <t>2643</t>
  </si>
  <si>
    <t>2614</t>
  </si>
  <si>
    <t>2612</t>
  </si>
  <si>
    <t>2613</t>
  </si>
  <si>
    <t>26121</t>
  </si>
  <si>
    <t>261411</t>
  </si>
  <si>
    <t>261412</t>
  </si>
  <si>
    <t>261421</t>
  </si>
  <si>
    <t>261422</t>
  </si>
  <si>
    <t>261423</t>
  </si>
  <si>
    <t>2615</t>
  </si>
  <si>
    <t>26151</t>
  </si>
  <si>
    <t>26152</t>
  </si>
  <si>
    <t>2616</t>
  </si>
  <si>
    <t>2621</t>
  </si>
  <si>
    <t>2622</t>
  </si>
  <si>
    <t>26221</t>
  </si>
  <si>
    <t>2623</t>
  </si>
  <si>
    <t>2624</t>
  </si>
  <si>
    <t>262411</t>
  </si>
  <si>
    <t>262412</t>
  </si>
  <si>
    <t>262421</t>
  </si>
  <si>
    <t>262422</t>
  </si>
  <si>
    <t>2625</t>
  </si>
  <si>
    <t>26251</t>
  </si>
  <si>
    <t>26252</t>
  </si>
  <si>
    <t>2626</t>
  </si>
  <si>
    <t>2631</t>
  </si>
  <si>
    <t>2632</t>
  </si>
  <si>
    <t>26321</t>
  </si>
  <si>
    <t>2633</t>
  </si>
  <si>
    <t>2634</t>
  </si>
  <si>
    <t>263411</t>
  </si>
  <si>
    <t>263412</t>
  </si>
  <si>
    <t>263421</t>
  </si>
  <si>
    <t>263422</t>
  </si>
  <si>
    <t>2635</t>
  </si>
  <si>
    <t>26351</t>
  </si>
  <si>
    <t>26352</t>
  </si>
  <si>
    <t>2636</t>
  </si>
  <si>
    <t>2641</t>
  </si>
  <si>
    <t>26421</t>
  </si>
  <si>
    <t>2644</t>
  </si>
  <si>
    <t>264411</t>
  </si>
  <si>
    <t>264412</t>
  </si>
  <si>
    <t>264421</t>
  </si>
  <si>
    <t>264422</t>
  </si>
  <si>
    <t>2645</t>
  </si>
  <si>
    <t>26451</t>
  </si>
  <si>
    <t>26452</t>
  </si>
  <si>
    <t>2646</t>
  </si>
  <si>
    <t>2651</t>
  </si>
  <si>
    <t>2652</t>
  </si>
  <si>
    <t>26521</t>
  </si>
  <si>
    <t>2653</t>
  </si>
  <si>
    <t>2654</t>
  </si>
  <si>
    <t>265411</t>
  </si>
  <si>
    <t>265412</t>
  </si>
  <si>
    <t>265421</t>
  </si>
  <si>
    <t>265422</t>
  </si>
  <si>
    <t>2655</t>
  </si>
  <si>
    <t>26551</t>
  </si>
  <si>
    <t>26552</t>
  </si>
  <si>
    <t>2656</t>
  </si>
  <si>
    <t>27411</t>
  </si>
  <si>
    <t>27412</t>
  </si>
  <si>
    <t>27421</t>
  </si>
  <si>
    <t>27422</t>
  </si>
  <si>
    <t>2743</t>
  </si>
  <si>
    <t>25043</t>
  </si>
  <si>
    <t>25081</t>
  </si>
  <si>
    <t>26243</t>
  </si>
  <si>
    <t>26343</t>
  </si>
  <si>
    <t>26443</t>
  </si>
  <si>
    <t>26543</t>
  </si>
  <si>
    <t>2711</t>
  </si>
  <si>
    <t>27111</t>
  </si>
  <si>
    <t>27112</t>
  </si>
  <si>
    <t>2712</t>
  </si>
  <si>
    <t>2713</t>
  </si>
  <si>
    <t>271311</t>
  </si>
  <si>
    <t>271312</t>
  </si>
  <si>
    <t>271321</t>
  </si>
  <si>
    <t>271322</t>
  </si>
  <si>
    <t>27113</t>
  </si>
  <si>
    <t>27114</t>
  </si>
  <si>
    <t>27115</t>
  </si>
  <si>
    <t>27121</t>
  </si>
  <si>
    <t>27122</t>
  </si>
  <si>
    <t>27123</t>
  </si>
  <si>
    <t>27124</t>
  </si>
  <si>
    <t>27125</t>
  </si>
  <si>
    <t>2721</t>
  </si>
  <si>
    <t>2731</t>
  </si>
  <si>
    <t>2741</t>
  </si>
  <si>
    <t>2751</t>
  </si>
  <si>
    <t>2761</t>
  </si>
  <si>
    <t>2722</t>
  </si>
  <si>
    <t>2723</t>
  </si>
  <si>
    <t>2724</t>
  </si>
  <si>
    <t>2725</t>
  </si>
  <si>
    <t>2732</t>
  </si>
  <si>
    <t>2733</t>
  </si>
  <si>
    <t>2734</t>
  </si>
  <si>
    <t>2735</t>
  </si>
  <si>
    <t>2742</t>
  </si>
  <si>
    <t>2744</t>
  </si>
  <si>
    <t>2745</t>
  </si>
  <si>
    <t>2752</t>
  </si>
  <si>
    <t>2753</t>
  </si>
  <si>
    <t>2754</t>
  </si>
  <si>
    <t>2755</t>
  </si>
  <si>
    <t>2762</t>
  </si>
  <si>
    <t>2763</t>
  </si>
  <si>
    <t>311</t>
  </si>
  <si>
    <t>312</t>
  </si>
  <si>
    <t>301</t>
  </si>
  <si>
    <t>302</t>
  </si>
  <si>
    <t>3011</t>
  </si>
  <si>
    <t>3012</t>
  </si>
  <si>
    <t>303</t>
  </si>
  <si>
    <t>30311</t>
  </si>
  <si>
    <t>30312</t>
  </si>
  <si>
    <t>30321</t>
  </si>
  <si>
    <t>30322</t>
  </si>
  <si>
    <t>304</t>
  </si>
  <si>
    <t>3041</t>
  </si>
  <si>
    <t>305</t>
  </si>
  <si>
    <t>3051</t>
  </si>
  <si>
    <t>3052</t>
  </si>
  <si>
    <t>3053</t>
  </si>
  <si>
    <t>306</t>
  </si>
  <si>
    <t>307</t>
  </si>
  <si>
    <t>3111</t>
  </si>
  <si>
    <t>3112</t>
  </si>
  <si>
    <t>313</t>
  </si>
  <si>
    <t>31311</t>
  </si>
  <si>
    <t>31312</t>
  </si>
  <si>
    <t>31321</t>
  </si>
  <si>
    <t>31322</t>
  </si>
  <si>
    <t>314</t>
  </si>
  <si>
    <t>3141</t>
  </si>
  <si>
    <t>315</t>
  </si>
  <si>
    <t>3151</t>
  </si>
  <si>
    <t>3152</t>
  </si>
  <si>
    <t>3153</t>
  </si>
  <si>
    <t>316</t>
  </si>
  <si>
    <t>317</t>
  </si>
  <si>
    <t>31112</t>
  </si>
  <si>
    <t>31113</t>
  </si>
  <si>
    <t>31121</t>
  </si>
  <si>
    <t>31122</t>
  </si>
  <si>
    <t>31123</t>
  </si>
  <si>
    <t>31131</t>
  </si>
  <si>
    <t>31132</t>
  </si>
  <si>
    <t>31133</t>
  </si>
  <si>
    <t>31143</t>
  </si>
  <si>
    <t>31141</t>
  </si>
  <si>
    <t>31142</t>
  </si>
  <si>
    <t>31231</t>
  </si>
  <si>
    <t>31232</t>
  </si>
  <si>
    <t>31233</t>
  </si>
  <si>
    <t>318</t>
  </si>
  <si>
    <t>308</t>
  </si>
  <si>
    <t>31211</t>
  </si>
  <si>
    <t>31212</t>
  </si>
  <si>
    <t>31213</t>
  </si>
  <si>
    <t>312131</t>
  </si>
  <si>
    <t>3121311</t>
  </si>
  <si>
    <t>312132</t>
  </si>
  <si>
    <t>3121321</t>
  </si>
  <si>
    <t>3121322</t>
  </si>
  <si>
    <t>3121323</t>
  </si>
  <si>
    <t>312133</t>
  </si>
  <si>
    <t>312134</t>
  </si>
  <si>
    <t>312135</t>
  </si>
  <si>
    <t>31221</t>
  </si>
  <si>
    <t>31223</t>
  </si>
  <si>
    <t>31222</t>
  </si>
  <si>
    <t>312231</t>
  </si>
  <si>
    <t>3122311</t>
  </si>
  <si>
    <t>312232</t>
  </si>
  <si>
    <t>3122321</t>
  </si>
  <si>
    <t>3122322</t>
  </si>
  <si>
    <t>3122323</t>
  </si>
  <si>
    <t>312233</t>
  </si>
  <si>
    <t>312234</t>
  </si>
  <si>
    <t>312235</t>
  </si>
  <si>
    <t>31201</t>
  </si>
  <si>
    <t>31202</t>
  </si>
  <si>
    <t>31203</t>
  </si>
  <si>
    <t>312031</t>
  </si>
  <si>
    <t>3120311</t>
  </si>
  <si>
    <t>312032</t>
  </si>
  <si>
    <t>3120321</t>
  </si>
  <si>
    <t>3120322</t>
  </si>
  <si>
    <t>3120323</t>
  </si>
  <si>
    <t>312033</t>
  </si>
  <si>
    <t>312034</t>
  </si>
  <si>
    <t>312035</t>
  </si>
  <si>
    <t>312331</t>
  </si>
  <si>
    <t>3123311</t>
  </si>
  <si>
    <t>312332</t>
  </si>
  <si>
    <t>3123321</t>
  </si>
  <si>
    <t>3123322</t>
  </si>
  <si>
    <t>3123323</t>
  </si>
  <si>
    <t>312333</t>
  </si>
  <si>
    <t>312334</t>
  </si>
  <si>
    <t>312335</t>
  </si>
  <si>
    <t>31301</t>
  </si>
  <si>
    <t>313011</t>
  </si>
  <si>
    <t>313012</t>
  </si>
  <si>
    <t>31302</t>
  </si>
  <si>
    <t>31303</t>
  </si>
  <si>
    <t>3130311</t>
  </si>
  <si>
    <t>3130312</t>
  </si>
  <si>
    <t>3130321</t>
  </si>
  <si>
    <t>3130322</t>
  </si>
  <si>
    <t>31304</t>
  </si>
  <si>
    <t>313041</t>
  </si>
  <si>
    <t>31305</t>
  </si>
  <si>
    <t>313051</t>
  </si>
  <si>
    <t>313052</t>
  </si>
  <si>
    <t>313053</t>
  </si>
  <si>
    <t>31306</t>
  </si>
  <si>
    <t>31307</t>
  </si>
  <si>
    <t>31308</t>
  </si>
  <si>
    <t>31310</t>
  </si>
  <si>
    <t>31413</t>
  </si>
  <si>
    <t>3142</t>
  </si>
  <si>
    <t>3143</t>
  </si>
  <si>
    <t>314311</t>
  </si>
  <si>
    <t>314312</t>
  </si>
  <si>
    <t>314321</t>
  </si>
  <si>
    <t>314322</t>
  </si>
  <si>
    <t>31433</t>
  </si>
  <si>
    <t>31435</t>
  </si>
  <si>
    <t>314351</t>
  </si>
  <si>
    <t>31436</t>
  </si>
  <si>
    <t>314361</t>
  </si>
  <si>
    <t>314362</t>
  </si>
  <si>
    <t>314363</t>
  </si>
  <si>
    <t>31437</t>
  </si>
  <si>
    <t>31438</t>
  </si>
  <si>
    <t>31439</t>
  </si>
  <si>
    <t>31412</t>
  </si>
  <si>
    <t>31411</t>
  </si>
  <si>
    <t>31511</t>
  </si>
  <si>
    <t>31512</t>
  </si>
  <si>
    <t>31513</t>
  </si>
  <si>
    <t>31514</t>
  </si>
  <si>
    <t>315042</t>
  </si>
  <si>
    <t>315041</t>
  </si>
  <si>
    <t>31504</t>
  </si>
  <si>
    <t>315037</t>
  </si>
  <si>
    <t>315036</t>
  </si>
  <si>
    <t>315035</t>
  </si>
  <si>
    <t>3150343</t>
  </si>
  <si>
    <t>3150342</t>
  </si>
  <si>
    <t>3150341</t>
  </si>
  <si>
    <t>315034</t>
  </si>
  <si>
    <t>3150331</t>
  </si>
  <si>
    <t>315033</t>
  </si>
  <si>
    <t>3150322</t>
  </si>
  <si>
    <t>3150321</t>
  </si>
  <si>
    <t>3150312</t>
  </si>
  <si>
    <t>3150311</t>
  </si>
  <si>
    <t>31503</t>
  </si>
  <si>
    <t>31502</t>
  </si>
  <si>
    <t>315012</t>
  </si>
  <si>
    <t>315011</t>
  </si>
  <si>
    <t>31501</t>
  </si>
  <si>
    <t>315111</t>
  </si>
  <si>
    <t>315112</t>
  </si>
  <si>
    <t>3151311</t>
  </si>
  <si>
    <t>3151312</t>
  </si>
  <si>
    <t>3151321</t>
  </si>
  <si>
    <t>3151322</t>
  </si>
  <si>
    <t>315141</t>
  </si>
  <si>
    <t>315142</t>
  </si>
  <si>
    <t>31515</t>
  </si>
  <si>
    <t>31516</t>
  </si>
  <si>
    <t>3151611</t>
  </si>
  <si>
    <t>3151612</t>
  </si>
  <si>
    <t>3151621</t>
  </si>
  <si>
    <t>3151623</t>
  </si>
  <si>
    <t>3211</t>
  </si>
  <si>
    <t>32111</t>
  </si>
  <si>
    <t>32112</t>
  </si>
  <si>
    <t>3212</t>
  </si>
  <si>
    <t>3213</t>
  </si>
  <si>
    <t>321311</t>
  </si>
  <si>
    <t>321312</t>
  </si>
  <si>
    <t>321321</t>
  </si>
  <si>
    <t>321322</t>
  </si>
  <si>
    <t>3214</t>
  </si>
  <si>
    <t>112</t>
  </si>
  <si>
    <t>1121</t>
  </si>
  <si>
    <t>1122</t>
  </si>
  <si>
    <t>11221</t>
  </si>
  <si>
    <t>11222</t>
  </si>
  <si>
    <t>112221</t>
  </si>
  <si>
    <t>112222</t>
  </si>
  <si>
    <t>112223</t>
  </si>
  <si>
    <t>112224</t>
  </si>
  <si>
    <t>11223</t>
  </si>
  <si>
    <t>11224</t>
  </si>
  <si>
    <t>112241</t>
  </si>
  <si>
    <t>11225</t>
  </si>
  <si>
    <t>112251</t>
  </si>
  <si>
    <t>1123</t>
  </si>
  <si>
    <t>11231</t>
  </si>
  <si>
    <t>11232</t>
  </si>
  <si>
    <t>112321</t>
  </si>
  <si>
    <t>klienta aprūpei izlietotie līdzekļi - kopā</t>
  </si>
  <si>
    <t>2113</t>
  </si>
  <si>
    <t>2371</t>
  </si>
  <si>
    <t>2372</t>
  </si>
  <si>
    <t>2373</t>
  </si>
  <si>
    <t>2382</t>
  </si>
  <si>
    <t>2383</t>
  </si>
  <si>
    <t>2384</t>
  </si>
  <si>
    <t>2401</t>
  </si>
  <si>
    <t>2402</t>
  </si>
  <si>
    <t>24021</t>
  </si>
  <si>
    <t>2403</t>
  </si>
  <si>
    <t>2405</t>
  </si>
  <si>
    <t>2406</t>
  </si>
  <si>
    <t>24081</t>
  </si>
  <si>
    <t>24082</t>
  </si>
  <si>
    <t>24083</t>
  </si>
  <si>
    <t>24091</t>
  </si>
  <si>
    <t>24092</t>
  </si>
  <si>
    <t>24093</t>
  </si>
  <si>
    <t>24101</t>
  </si>
  <si>
    <t>24102</t>
  </si>
  <si>
    <t>24103</t>
  </si>
  <si>
    <t>24111</t>
  </si>
  <si>
    <t>24112</t>
  </si>
  <si>
    <t>24113</t>
  </si>
  <si>
    <t>24121</t>
  </si>
  <si>
    <t>24122</t>
  </si>
  <si>
    <t>24123</t>
  </si>
  <si>
    <t>2404</t>
  </si>
  <si>
    <t>240411</t>
  </si>
  <si>
    <t>240412</t>
  </si>
  <si>
    <t>240421</t>
  </si>
  <si>
    <t>240422</t>
  </si>
  <si>
    <t>240413</t>
  </si>
  <si>
    <t>24051</t>
  </si>
  <si>
    <t>24052</t>
  </si>
  <si>
    <t>24071</t>
  </si>
  <si>
    <t>24072</t>
  </si>
  <si>
    <t>24073</t>
  </si>
  <si>
    <t>21201</t>
  </si>
  <si>
    <t>21202</t>
  </si>
  <si>
    <t>21211</t>
  </si>
  <si>
    <t>21212</t>
  </si>
  <si>
    <t>21221</t>
  </si>
  <si>
    <t>21222</t>
  </si>
  <si>
    <t>21231</t>
  </si>
  <si>
    <t>21232</t>
  </si>
  <si>
    <t>21241</t>
  </si>
  <si>
    <t>21242</t>
  </si>
  <si>
    <t>21251</t>
  </si>
  <si>
    <t>21252</t>
  </si>
  <si>
    <t>201</t>
  </si>
  <si>
    <t>202</t>
  </si>
  <si>
    <t>2011</t>
  </si>
  <si>
    <t>2021</t>
  </si>
  <si>
    <t>203</t>
  </si>
  <si>
    <t>204</t>
  </si>
  <si>
    <t>20411</t>
  </si>
  <si>
    <t>20412</t>
  </si>
  <si>
    <t>20421</t>
  </si>
  <si>
    <t>20422</t>
  </si>
  <si>
    <t>zvanu skaits</t>
  </si>
  <si>
    <t>institūcijas, ar kurām pašvaldībai ir līgumi par attiecīgo pakalpojumu</t>
  </si>
  <si>
    <t>Tālr. 67021600  Fakss: 67276445</t>
  </si>
  <si>
    <t>Krīzes centru sniegtie sociālie pakalpojumi</t>
  </si>
  <si>
    <t>mēneši</t>
  </si>
  <si>
    <t>Pašvaldības sociālā dienesta uzturēšanas izdevumi</t>
  </si>
  <si>
    <t>Krīzes centru sniegtie, krīzes tālruņu un uzticības tālruņu nodrošinātie sociālie pakalpojumi - kopā</t>
  </si>
  <si>
    <t>25000</t>
  </si>
  <si>
    <t>25001</t>
  </si>
  <si>
    <t>250011</t>
  </si>
  <si>
    <t>Citi Sociālo pakalpojumu un sociālās palīdzības likumā noteiktie sociālie pakalpojumi - kopā</t>
  </si>
  <si>
    <t>26000</t>
  </si>
  <si>
    <t>26001</t>
  </si>
  <si>
    <t>260011</t>
  </si>
  <si>
    <t>2720</t>
  </si>
  <si>
    <t>2740</t>
  </si>
  <si>
    <t>2012</t>
  </si>
  <si>
    <t>20121A</t>
  </si>
  <si>
    <t>20121B</t>
  </si>
  <si>
    <t>20121C</t>
  </si>
  <si>
    <t>20122A</t>
  </si>
  <si>
    <t>20122B</t>
  </si>
  <si>
    <t>20122C</t>
  </si>
  <si>
    <t>20123A</t>
  </si>
  <si>
    <t>20123B</t>
  </si>
  <si>
    <t>20123C</t>
  </si>
  <si>
    <t>201211C</t>
  </si>
  <si>
    <t>201221C</t>
  </si>
  <si>
    <t>201231C</t>
  </si>
  <si>
    <t>20124A</t>
  </si>
  <si>
    <t>20124B</t>
  </si>
  <si>
    <t>20124C</t>
  </si>
  <si>
    <t>201241C</t>
  </si>
  <si>
    <t>20125A</t>
  </si>
  <si>
    <t>20125B</t>
  </si>
  <si>
    <t>20125C</t>
  </si>
  <si>
    <t>201251C</t>
  </si>
  <si>
    <t>20126A</t>
  </si>
  <si>
    <t>20126B</t>
  </si>
  <si>
    <t>20126C</t>
  </si>
  <si>
    <t>201261C</t>
  </si>
  <si>
    <t>20127A</t>
  </si>
  <si>
    <t>20127B</t>
  </si>
  <si>
    <t>20127C</t>
  </si>
  <si>
    <t>201271C</t>
  </si>
  <si>
    <t>no pašvaldības budžeta līdzekļiem apmaksātie (pirktie) sociālie pakalpojumi</t>
  </si>
  <si>
    <t>t.sk.personas, kuras veic algotos pagaidu sabiedriskos darbus</t>
  </si>
  <si>
    <t>20128A</t>
  </si>
  <si>
    <t>20128B</t>
  </si>
  <si>
    <t>20128C</t>
  </si>
  <si>
    <t>201218C</t>
  </si>
  <si>
    <t>20129A</t>
  </si>
  <si>
    <t>20129B</t>
  </si>
  <si>
    <t>20129C</t>
  </si>
  <si>
    <t>201210A</t>
  </si>
  <si>
    <t>201210B</t>
  </si>
  <si>
    <t>201210C</t>
  </si>
  <si>
    <t>2012101C</t>
  </si>
  <si>
    <t>201291C</t>
  </si>
  <si>
    <t>201211A</t>
  </si>
  <si>
    <t>201211B</t>
  </si>
  <si>
    <t>2012111C</t>
  </si>
  <si>
    <t>201212A</t>
  </si>
  <si>
    <t>201212B</t>
  </si>
  <si>
    <t>2012121C</t>
  </si>
  <si>
    <t>201281C</t>
  </si>
  <si>
    <t>201213A</t>
  </si>
  <si>
    <t>201213B</t>
  </si>
  <si>
    <t>201213C</t>
  </si>
  <si>
    <t>2012131C</t>
  </si>
  <si>
    <t>201214A</t>
  </si>
  <si>
    <t>201214B</t>
  </si>
  <si>
    <t>201214C</t>
  </si>
  <si>
    <t>2012141C</t>
  </si>
  <si>
    <t>201215A</t>
  </si>
  <si>
    <t>201215B</t>
  </si>
  <si>
    <t>201215C</t>
  </si>
  <si>
    <t>2012151C</t>
  </si>
  <si>
    <t>201216A</t>
  </si>
  <si>
    <t>201216B</t>
  </si>
  <si>
    <t>201216C</t>
  </si>
  <si>
    <t>2012161C</t>
  </si>
  <si>
    <t>201217A</t>
  </si>
  <si>
    <t>201217B</t>
  </si>
  <si>
    <t>201217C</t>
  </si>
  <si>
    <t>2012171C</t>
  </si>
  <si>
    <t>201218A</t>
  </si>
  <si>
    <t>201218B</t>
  </si>
  <si>
    <t>2012181C</t>
  </si>
  <si>
    <t>201219A</t>
  </si>
  <si>
    <t>201219B</t>
  </si>
  <si>
    <t>201219C</t>
  </si>
  <si>
    <t>2012191C</t>
  </si>
  <si>
    <t>201220A</t>
  </si>
  <si>
    <t>201220B</t>
  </si>
  <si>
    <t>201220C</t>
  </si>
  <si>
    <t>2012201C</t>
  </si>
  <si>
    <t>201221A</t>
  </si>
  <si>
    <t>201221B</t>
  </si>
  <si>
    <t>2012211C</t>
  </si>
  <si>
    <t>201222A</t>
  </si>
  <si>
    <t>201222B</t>
  </si>
  <si>
    <t>201222C</t>
  </si>
  <si>
    <t>2012221C</t>
  </si>
  <si>
    <t>201223A</t>
  </si>
  <si>
    <t>201223B</t>
  </si>
  <si>
    <t>201223C</t>
  </si>
  <si>
    <t>2012231C</t>
  </si>
  <si>
    <t>201224A</t>
  </si>
  <si>
    <t>201224B</t>
  </si>
  <si>
    <t>201224C</t>
  </si>
  <si>
    <t>2012241C</t>
  </si>
  <si>
    <t>201225A</t>
  </si>
  <si>
    <t>201225B</t>
  </si>
  <si>
    <t>201225C</t>
  </si>
  <si>
    <t>2012251C</t>
  </si>
  <si>
    <t>201226A</t>
  </si>
  <si>
    <t>201226B</t>
  </si>
  <si>
    <t>201226C</t>
  </si>
  <si>
    <t>2012261C</t>
  </si>
  <si>
    <t>201227A</t>
  </si>
  <si>
    <t>201227B</t>
  </si>
  <si>
    <t>201227C</t>
  </si>
  <si>
    <t>2012271C</t>
  </si>
  <si>
    <t>201228A</t>
  </si>
  <si>
    <t>201228B</t>
  </si>
  <si>
    <t>201228C</t>
  </si>
  <si>
    <t>2012281C</t>
  </si>
  <si>
    <t xml:space="preserve">  </t>
  </si>
  <si>
    <t>euro</t>
  </si>
  <si>
    <t>Pabalsts krīzes situācijā</t>
  </si>
  <si>
    <t>t.sk. bērniem ar invaliditāti kopš bērnības izlietotie līdzekļi</t>
  </si>
  <si>
    <t>t.sk. bērni ar invaliditāti kopš bērnības</t>
  </si>
  <si>
    <t xml:space="preserve">Pašvaldības budžeta izdevumi sociālā atbalsta pasākumiem </t>
  </si>
  <si>
    <t>Pabalsts krīzes situācijā - kopā</t>
  </si>
  <si>
    <t xml:space="preserve">2017.gada 13.jūnija noteikumiem Nr.324 </t>
  </si>
  <si>
    <t>VSPARK 22710012</t>
  </si>
  <si>
    <t xml:space="preserve">3.1.4. Mājokļa pabalsts </t>
  </si>
  <si>
    <t>PAŠVALDĪBĀ 2021. GADĀ</t>
  </si>
  <si>
    <t>54</t>
  </si>
  <si>
    <t>55</t>
  </si>
  <si>
    <t>3131101</t>
  </si>
  <si>
    <t>3131102</t>
  </si>
  <si>
    <t>personas, kurām mājokļa pabalsts izmaksāts kopā ar GMI pabalstu</t>
  </si>
  <si>
    <t>tai skaitā</t>
  </si>
  <si>
    <t>Ienākumu testēto pašvaldības sociālās palīdzības pabalstu saņēmēju raksturojums pēc Mājsaimniecība sastāva</t>
  </si>
  <si>
    <t> Ienākumu testēto pašvaldības sociālās palīdzības pabalstu saņēmēju raksturojums pēc ienākumu līmeņa uz vienu Mājsaimniecība locekli mēnesī</t>
  </si>
  <si>
    <t>personas mājsaimniecībās - kopā</t>
  </si>
  <si>
    <t>personas mājsaimniecībās</t>
  </si>
  <si>
    <t>Personas mājsaimniecībās - kopā</t>
  </si>
  <si>
    <t>privātie mājokļi</t>
  </si>
  <si>
    <t>mājsaimniecību skaits</t>
  </si>
  <si>
    <t>personas, kuras veic algotos pagaidu sabiedriskoas darbus</t>
  </si>
  <si>
    <t>10 sesijas gadā</t>
  </si>
  <si>
    <t>līdz 10 sesijām gadā</t>
  </si>
  <si>
    <t>virs 10 sesijām gadā</t>
  </si>
  <si>
    <t>līdz10 sesijām gadā</t>
  </si>
  <si>
    <t>72 stundas trīs gadu laikā</t>
  </si>
  <si>
    <t>48 stundas trīs gadu laikā</t>
  </si>
  <si>
    <t>līdz 48 stundām trīs gadu laikā</t>
  </si>
  <si>
    <t>virs 48 stundām trīs gadu laikā</t>
  </si>
  <si>
    <t>141124</t>
  </si>
  <si>
    <t>141125</t>
  </si>
  <si>
    <t>141126</t>
  </si>
  <si>
    <t>tikai individuāls atbalsts</t>
  </si>
  <si>
    <t>tikai grupu atbalsts</t>
  </si>
  <si>
    <t>kombinēts individuālais un grupu atbalsts</t>
  </si>
  <si>
    <t>142124</t>
  </si>
  <si>
    <t>142125</t>
  </si>
  <si>
    <t>142126</t>
  </si>
  <si>
    <t>143124</t>
  </si>
  <si>
    <t>143125</t>
  </si>
  <si>
    <t>143126</t>
  </si>
  <si>
    <t>144124</t>
  </si>
  <si>
    <t>144125</t>
  </si>
  <si>
    <t>144126</t>
  </si>
  <si>
    <t>īrētie mājokļi no privātpersonām</t>
  </si>
  <si>
    <t>mājsaimniecības</t>
  </si>
  <si>
    <t>personām, kurām spēkā maznodrošinātās personas statuss</t>
  </si>
  <si>
    <t>pirmās personas mājsaimniecībā (personas ar koificentu 1)</t>
  </si>
  <si>
    <t>3.1.3.Garantētā minimālā ienākuma pabalsts</t>
  </si>
  <si>
    <t>Mājsaimniecības</t>
  </si>
  <si>
    <t>Vidējais garantētā minimālā ienākuma pabalsta lielums vienai personai gadā</t>
  </si>
  <si>
    <t>Vidējais garantētā minimālā ienākuma pabalsta lielums vienai personai mēnesī</t>
  </si>
  <si>
    <t xml:space="preserve">Vidējais garantētā minimālā ienākuma pabalsta saņemšanas ilgums vienai personai </t>
  </si>
  <si>
    <t>personām, kurām spēkā trūcīgas mājsaimniecības statuss</t>
  </si>
  <si>
    <t>Pārskata gadā spēkā trūcīgas mājsaimniecības statuss</t>
  </si>
  <si>
    <t>pārējās personas mājsaimniecībā (personas ar koificentu 0.7)</t>
  </si>
  <si>
    <t>tai skatā</t>
  </si>
  <si>
    <t>vienas personas mājsaimniecības</t>
  </si>
  <si>
    <t>31241</t>
  </si>
  <si>
    <t>31242</t>
  </si>
  <si>
    <t>31243</t>
  </si>
  <si>
    <t>31244</t>
  </si>
  <si>
    <t>31245</t>
  </si>
  <si>
    <t>312451</t>
  </si>
  <si>
    <t>3124511</t>
  </si>
  <si>
    <t>312452</t>
  </si>
  <si>
    <t>3124521</t>
  </si>
  <si>
    <t>3124522</t>
  </si>
  <si>
    <t>3124523</t>
  </si>
  <si>
    <t>3124524</t>
  </si>
  <si>
    <t>312453</t>
  </si>
  <si>
    <t>312454</t>
  </si>
  <si>
    <t xml:space="preserve">Maznodrošinātas mājsaimniecības statuss
(izņemot trūcīgās personas)
</t>
  </si>
  <si>
    <t>3.2 Pabalsts krīzes situācijā</t>
  </si>
  <si>
    <t xml:space="preserve">neatbilstība ienākumu līmenim </t>
  </si>
  <si>
    <t>neatbilstība īpašuma kritērijiem</t>
  </si>
  <si>
    <t>citas neatbilstības</t>
  </si>
  <si>
    <t>Personas mājsaimniecībās, kurām atteikts pabalsts - kopā</t>
  </si>
  <si>
    <t>bārenim un bez vecāku gādības palikušam bērnam pēc ārpusģimenes aprūpes beigšanās - kopā</t>
  </si>
  <si>
    <t>mājokļa pabalsts</t>
  </si>
  <si>
    <t>atlīdzība par audžuģimenes pienākumu (īsāks par mēnesi) veikšanu</t>
  </si>
  <si>
    <t xml:space="preserve">citiem izdevumiem - kopā </t>
  </si>
  <si>
    <t xml:space="preserve">mājokļa izdevumu apmaksai  - kopā </t>
  </si>
  <si>
    <t xml:space="preserve">ar izglītību saistītiem izdevumiem  - kopā </t>
  </si>
  <si>
    <t>no tiem -  privātie mājokļi</t>
  </si>
  <si>
    <t>no tiem -  īrētie mājokļi no privātpersonām</t>
  </si>
  <si>
    <t>no tām - privātie mājokļi</t>
  </si>
  <si>
    <t>no tām - īrētie mājokļi no privātpersonām</t>
  </si>
  <si>
    <t>pēdējo triju gadu laikā ir paaugstināta kvalifikācija</t>
  </si>
  <si>
    <t>līdz 72 stundām trīs gadu laikā</t>
  </si>
  <si>
    <t>virs 72 stundām trīs gadu laikā</t>
  </si>
  <si>
    <t>Vidējais garantētā minimālā ienākuma pabalsta lielums vairāku personu mājsaimniecībai gadā</t>
  </si>
  <si>
    <t>Vidējais garantētā minimālā ienākuma pabalsta lielums vairāku personu mājsaimniecībai mēnesī</t>
  </si>
  <si>
    <t xml:space="preserve">Vidējais garantētā minimālā ienākuma pabalsta lielums vienas personas mājsaimniecībai gadā </t>
  </si>
  <si>
    <t>Vidējais garantētā minimālā ienākuma pabalsta lielums vienas personas mājsaimniecībai mēnesī</t>
  </si>
  <si>
    <t>Vidējais garantētā minimālā ienākuma pabalsta saņemšanas ilgums vienas personas mājsaimniecībai</t>
  </si>
  <si>
    <t>Vidējais garantētā minimālā ienākuma pabalsta saņemšanas ilgums vairāku personu mājsaimniecībai</t>
  </si>
  <si>
    <t>Vidējais mājokļa  pabalsta lielums vienai personai gadā</t>
  </si>
  <si>
    <t xml:space="preserve">Vidējais mājokļa  pabalsta lielums vienas personas mājsaimniecībai gadā </t>
  </si>
  <si>
    <t>Vidējais mājokļa  pabalsta lielums vairāku personu mājsaimniecībai gadā</t>
  </si>
  <si>
    <t>Vidējais mājokļa  pabalsta lielums vienai personai mēnesī</t>
  </si>
  <si>
    <t>Vidējais mājokļa  pabalsta lielums vienas personas mājsaimniecībai mēnesī</t>
  </si>
  <si>
    <t>Vidējais mājokļa  pabalsta lielums vairāku personu mājsaimniecībai mēnesī</t>
  </si>
  <si>
    <t xml:space="preserve">Vidējais mājokļa  pabalsta saņemšanas ilgums vienai personai </t>
  </si>
  <si>
    <t>Vidējais mājokļa  pabalsta saņemšanas ilgums vienas personas mājsaimniecībai</t>
  </si>
  <si>
    <t>Vidējais mājokļa  pabalsta saņemšanas ilgums vairāku personu mājsaimniecībai</t>
  </si>
  <si>
    <t>Vidējais pamata pabalsta lielums vienai personai gadā</t>
  </si>
  <si>
    <t xml:space="preserve">Vidējais pamata pabalsta lielums vienas personas mājsaimniecībai gadā </t>
  </si>
  <si>
    <t>Vidējais pamata pabalsta lielums vairāku personu mājsaimniecībai gadā</t>
  </si>
  <si>
    <t>Vidējais pamata pabalsta lielums vienai personai mēnesī</t>
  </si>
  <si>
    <t>Vidējais pamata pabalsta lielums vienas personas mājsaimniecībai mēnesī</t>
  </si>
  <si>
    <t>Vidējais pamata pabalsta lielums vairāku personu mājsaimniecībai mēnesī</t>
  </si>
  <si>
    <t xml:space="preserve">Vidējais pamata pabalsta saņemšanas ilgums vienai personai </t>
  </si>
  <si>
    <t>Vidējais pamata pabalsta saņemšanas ilgums vienas personas mājsaimniecībai</t>
  </si>
  <si>
    <t>Vidējais pamata pabalsta saņemšanas ilgums vairāku personu mājsaimniecībai</t>
  </si>
  <si>
    <t>313121</t>
  </si>
  <si>
    <t>313122</t>
  </si>
  <si>
    <t>Pabalsts atsevišķu izdevumu apmaksai - kopā</t>
  </si>
  <si>
    <t>3.1.5. Pabalsts atsevišķu izdevumu apmaksai</t>
  </si>
  <si>
    <r>
      <t>no tām - ar</t>
    </r>
    <r>
      <rPr>
        <b/>
        <sz val="10"/>
        <rFont val="Times New Roman"/>
        <family val="1"/>
      </rPr>
      <t xml:space="preserve"> veselības aprūpi saistītu izdevu apmaksai</t>
    </r>
  </si>
  <si>
    <r>
      <t xml:space="preserve">no tām - </t>
    </r>
    <r>
      <rPr>
        <b/>
        <sz val="10"/>
        <rFont val="Times New Roman"/>
        <family val="1"/>
      </rPr>
      <t>citu izdevumu apmaksai</t>
    </r>
  </si>
  <si>
    <t>Citi ārējos tiesību aktos noteiktie  pabalsti - sociālās garantijas bāreņiem un audžuģimenēm- kopā</t>
  </si>
  <si>
    <t>Citi ārējos tiesību aktos noteiktie pabalsti - atbalsts daudzbērnu ģimenēm, vērtējot materiālo situāciju, izņemot pamata un papildu sociālās palīdzības pabalstus  - kopā</t>
  </si>
  <si>
    <t>Citi ārējos tiesību aktos noteiktie pabalsti - atbalsts daudzbērnu ģimenēm, nevērtējot materiālo situāciju  - kopā</t>
  </si>
  <si>
    <t>citi ārējos tiesību aktos noteiktie pabalsti - sociālās garantijas bāreņiem un audžuģimenēm</t>
  </si>
  <si>
    <t>citi ārējos tiesību aktos noteiktie pabalsti - atbalsts daudzbērnu ģimenēm</t>
  </si>
  <si>
    <t xml:space="preserve"> Ienākumu testētie pašvaldības sociālās palīdzības pabalsti - kopā</t>
  </si>
  <si>
    <t>Pamata pabalsti - kopā</t>
  </si>
  <si>
    <r>
      <t xml:space="preserve">3.1.1. Ienākumu testēto pašvaldības sociālās palīdzības pabalstu saņēmēju raksturojums pēc mājsaimniecība sastāva </t>
    </r>
    <r>
      <rPr>
        <b/>
        <sz val="11"/>
        <color indexed="30"/>
        <rFont val="Times New Roman"/>
        <family val="1"/>
      </rPr>
      <t>(GMI; mājoklis; atsev.izdev.)</t>
    </r>
  </si>
  <si>
    <r>
      <t xml:space="preserve">3.1. Ienākumu testētie pašvaldības sociālās palīdzības pabalsti </t>
    </r>
    <r>
      <rPr>
        <b/>
        <sz val="12"/>
        <color indexed="30"/>
        <rFont val="Times New Roman"/>
        <family val="1"/>
      </rPr>
      <t>(GMI, mājoklis, atsev.izd.)</t>
    </r>
  </si>
  <si>
    <t>3.1.2. Mājsaimniecību raksturojums, kurām izvērētā materiālā situācija, pēc ienākumu līmeņa uz vienu mājsaimniecības locekli mēnesī</t>
  </si>
  <si>
    <t>Pašvaldības noteiktais augstākais maznodrošinātas mājsaimniecības ienākumu līmenis pirmajai personai</t>
  </si>
  <si>
    <t>Pašvaldības noteiktais zemākais maznodrošinātas mājsaimniecības ienākumu līmenis pirmajai personai</t>
  </si>
  <si>
    <t>īres  maksājumiem</t>
  </si>
  <si>
    <t>komu nālo maksājumu un kurināmā iegādei</t>
  </si>
  <si>
    <t>cietā kurināmā iegādei</t>
  </si>
  <si>
    <t>telekomunikāciju un interneta  izdevumiem</t>
  </si>
  <si>
    <t>citiem ar mājokli saistītiem izdevumiem</t>
  </si>
  <si>
    <t xml:space="preserve">pašvaldību īres mājokļi, tai skaitā sociālie dzīvokļi </t>
  </si>
  <si>
    <t xml:space="preserve">no tiem - pašvaldību īres mājokļi, tai skaitā sociālie dzīvokļi </t>
  </si>
  <si>
    <t xml:space="preserve">no tām - pašvaldību īres mājokļi, tai skaitā sociālie dzīvokļi </t>
  </si>
  <si>
    <t xml:space="preserve">apsaimniekošanas maksājumiem </t>
  </si>
  <si>
    <t>4. Citi ārējos tiesību aktos noteiktie pabalsti - sociālās garantijas bāreņiem un audžuģimenēm</t>
  </si>
  <si>
    <t>6. Pašvaldības budžeta izdevumi sociālā atbalsta pasākumiem</t>
  </si>
  <si>
    <t>614</t>
  </si>
  <si>
    <t>5034</t>
  </si>
  <si>
    <t>511</t>
  </si>
  <si>
    <t>512</t>
  </si>
  <si>
    <t>5111</t>
  </si>
  <si>
    <t>513</t>
  </si>
  <si>
    <t>514</t>
  </si>
  <si>
    <t>515</t>
  </si>
  <si>
    <t>516</t>
  </si>
  <si>
    <t>517</t>
  </si>
  <si>
    <t>5151</t>
  </si>
  <si>
    <t>518</t>
  </si>
  <si>
    <t>519</t>
  </si>
  <si>
    <t>520</t>
  </si>
  <si>
    <t>521</t>
  </si>
  <si>
    <t>5191</t>
  </si>
  <si>
    <t>522</t>
  </si>
  <si>
    <t>523</t>
  </si>
  <si>
    <t>5201</t>
  </si>
  <si>
    <t>5202</t>
  </si>
  <si>
    <t>5221</t>
  </si>
  <si>
    <t>5222</t>
  </si>
  <si>
    <t>5223</t>
  </si>
  <si>
    <t>5224</t>
  </si>
  <si>
    <t>5231</t>
  </si>
  <si>
    <t>524</t>
  </si>
  <si>
    <t>5241</t>
  </si>
  <si>
    <t>5242</t>
  </si>
  <si>
    <t>5243</t>
  </si>
  <si>
    <t>5244</t>
  </si>
  <si>
    <t>525</t>
  </si>
  <si>
    <t>526</t>
  </si>
  <si>
    <t>31246</t>
  </si>
  <si>
    <t>31247</t>
  </si>
  <si>
    <t>310101</t>
  </si>
  <si>
    <t>3101011</t>
  </si>
  <si>
    <t>3101012</t>
  </si>
  <si>
    <t>31010311</t>
  </si>
  <si>
    <t>31010312</t>
  </si>
  <si>
    <t>310110</t>
  </si>
  <si>
    <t>310111</t>
  </si>
  <si>
    <t>310112</t>
  </si>
  <si>
    <t>310113</t>
  </si>
  <si>
    <t>310114</t>
  </si>
  <si>
    <t>310115</t>
  </si>
  <si>
    <t>310116</t>
  </si>
  <si>
    <t>310117</t>
  </si>
  <si>
    <t>mājsaimniecība</t>
  </si>
  <si>
    <t>313021</t>
  </si>
  <si>
    <t>31313</t>
  </si>
  <si>
    <t>313131</t>
  </si>
  <si>
    <t>313132</t>
  </si>
  <si>
    <t>313133</t>
  </si>
  <si>
    <t>31441</t>
  </si>
  <si>
    <t>31442</t>
  </si>
  <si>
    <t>31443</t>
  </si>
  <si>
    <t>31444</t>
  </si>
  <si>
    <t>31445</t>
  </si>
  <si>
    <t>31446</t>
  </si>
  <si>
    <t>31447</t>
  </si>
  <si>
    <t>31448</t>
  </si>
  <si>
    <t>31449</t>
  </si>
  <si>
    <t>31450</t>
  </si>
  <si>
    <t>31451</t>
  </si>
  <si>
    <t>31452</t>
  </si>
  <si>
    <t>31453</t>
  </si>
  <si>
    <t>31454</t>
  </si>
  <si>
    <t>31455</t>
  </si>
  <si>
    <t>31456</t>
  </si>
  <si>
    <t>31457</t>
  </si>
  <si>
    <t>31458</t>
  </si>
  <si>
    <t>31459</t>
  </si>
  <si>
    <t>31460</t>
  </si>
  <si>
    <t>31461</t>
  </si>
  <si>
    <t>31462</t>
  </si>
  <si>
    <t>31463</t>
  </si>
  <si>
    <t>31464</t>
  </si>
  <si>
    <t>31465</t>
  </si>
  <si>
    <t>31466</t>
  </si>
  <si>
    <t>314411</t>
  </si>
  <si>
    <t>314412</t>
  </si>
  <si>
    <t>314413</t>
  </si>
  <si>
    <t>314421</t>
  </si>
  <si>
    <t>314422</t>
  </si>
  <si>
    <t>314431</t>
  </si>
  <si>
    <t>314432</t>
  </si>
  <si>
    <t>314441</t>
  </si>
  <si>
    <t>314442</t>
  </si>
  <si>
    <t>314451</t>
  </si>
  <si>
    <t>314452</t>
  </si>
  <si>
    <t>314461</t>
  </si>
  <si>
    <t>314462</t>
  </si>
  <si>
    <t>314463</t>
  </si>
  <si>
    <t>314471</t>
  </si>
  <si>
    <t>314472</t>
  </si>
  <si>
    <t>314573</t>
  </si>
  <si>
    <t>314481</t>
  </si>
  <si>
    <t>314582</t>
  </si>
  <si>
    <t>314583</t>
  </si>
  <si>
    <t>314491</t>
  </si>
  <si>
    <t>314492</t>
  </si>
  <si>
    <t>314493</t>
  </si>
  <si>
    <t>314501</t>
  </si>
  <si>
    <t>314502</t>
  </si>
  <si>
    <t>314503</t>
  </si>
  <si>
    <t>314512</t>
  </si>
  <si>
    <t>314513</t>
  </si>
  <si>
    <t>314514</t>
  </si>
  <si>
    <t>314521</t>
  </si>
  <si>
    <t>314522</t>
  </si>
  <si>
    <t>314523</t>
  </si>
  <si>
    <t>314531</t>
  </si>
  <si>
    <t>314532</t>
  </si>
  <si>
    <t>314533</t>
  </si>
  <si>
    <t>314541</t>
  </si>
  <si>
    <t>314542</t>
  </si>
  <si>
    <t>314543</t>
  </si>
  <si>
    <t>314551</t>
  </si>
  <si>
    <t>314552</t>
  </si>
  <si>
    <t>314553</t>
  </si>
  <si>
    <t>314561</t>
  </si>
  <si>
    <t>314562</t>
  </si>
  <si>
    <t>314563</t>
  </si>
  <si>
    <t>314571</t>
  </si>
  <si>
    <t>3145572</t>
  </si>
  <si>
    <t>3146573</t>
  </si>
  <si>
    <t>315043</t>
  </si>
  <si>
    <t>31414</t>
  </si>
  <si>
    <t>31415</t>
  </si>
  <si>
    <t>31434</t>
  </si>
  <si>
    <t>31432</t>
  </si>
  <si>
    <t>32201</t>
  </si>
  <si>
    <t>322011</t>
  </si>
  <si>
    <t>322012</t>
  </si>
  <si>
    <t>32202</t>
  </si>
  <si>
    <t>32203</t>
  </si>
  <si>
    <t>32204</t>
  </si>
  <si>
    <t>3220411</t>
  </si>
  <si>
    <t>3220412</t>
  </si>
  <si>
    <t>3330421</t>
  </si>
  <si>
    <t>3220422</t>
  </si>
  <si>
    <t>32205</t>
  </si>
  <si>
    <t>322061</t>
  </si>
  <si>
    <t>3220611</t>
  </si>
  <si>
    <t>3220612</t>
  </si>
  <si>
    <t>32207</t>
  </si>
  <si>
    <t>322071</t>
  </si>
  <si>
    <t>322072</t>
  </si>
  <si>
    <t>32208</t>
  </si>
  <si>
    <t>322081</t>
  </si>
  <si>
    <t>322082</t>
  </si>
  <si>
    <t>322083</t>
  </si>
  <si>
    <t>32209</t>
  </si>
  <si>
    <t>322091</t>
  </si>
  <si>
    <t>32210</t>
  </si>
  <si>
    <t>322101</t>
  </si>
  <si>
    <t>322102</t>
  </si>
  <si>
    <t>32211</t>
  </si>
  <si>
    <t>32212</t>
  </si>
  <si>
    <t>322121</t>
  </si>
  <si>
    <t>322122</t>
  </si>
  <si>
    <t>32213</t>
  </si>
  <si>
    <t>32214</t>
  </si>
  <si>
    <t>322141</t>
  </si>
  <si>
    <t>322142</t>
  </si>
  <si>
    <t>322143</t>
  </si>
  <si>
    <t>32215</t>
  </si>
  <si>
    <t>322151</t>
  </si>
  <si>
    <t>32216</t>
  </si>
  <si>
    <t>322161</t>
  </si>
  <si>
    <t>322162</t>
  </si>
  <si>
    <t>32217</t>
  </si>
  <si>
    <t>32218</t>
  </si>
  <si>
    <t>322181</t>
  </si>
  <si>
    <t>322182</t>
  </si>
  <si>
    <t>32219</t>
  </si>
  <si>
    <t>322191</t>
  </si>
  <si>
    <t>32220</t>
  </si>
  <si>
    <t>322201</t>
  </si>
  <si>
    <t>322202</t>
  </si>
  <si>
    <t>32221</t>
  </si>
  <si>
    <t>322211</t>
  </si>
  <si>
    <t>32222</t>
  </si>
  <si>
    <t>322221</t>
  </si>
  <si>
    <t>322222</t>
  </si>
  <si>
    <t>32223</t>
  </si>
  <si>
    <t>322231</t>
  </si>
  <si>
    <t>401</t>
  </si>
  <si>
    <t>402</t>
  </si>
  <si>
    <t>4011</t>
  </si>
  <si>
    <t>4012</t>
  </si>
  <si>
    <t>4021</t>
  </si>
  <si>
    <t>atalgojums</t>
  </si>
  <si>
    <t>161</t>
  </si>
  <si>
    <t>162</t>
  </si>
  <si>
    <t>163</t>
  </si>
  <si>
    <t>164</t>
  </si>
  <si>
    <t>165</t>
  </si>
  <si>
    <t>166</t>
  </si>
  <si>
    <t>lietu skaits</t>
  </si>
  <si>
    <t>Pirktais sociālā darba pakalpojums</t>
  </si>
  <si>
    <t>pirmās personas mājsaimniecībā (personas ar koificientu 1)</t>
  </si>
  <si>
    <t>pārējās personas mājsaimniecībā (personas ar koificientu 0.7)</t>
  </si>
  <si>
    <r>
      <t>līdz</t>
    </r>
    <r>
      <rPr>
        <sz val="10"/>
        <rFont val="Times New Roman"/>
        <family val="1"/>
      </rPr>
      <t xml:space="preserve"> valsts noteiktajiem garantētajiem minimālo ienākumu sliekšņiem (ieskaitot to)</t>
    </r>
    <r>
      <rPr>
        <b/>
        <sz val="10"/>
        <rFont val="Times New Roman"/>
        <family val="1"/>
      </rPr>
      <t xml:space="preserve"> </t>
    </r>
  </si>
  <si>
    <r>
      <t xml:space="preserve">virs </t>
    </r>
    <r>
      <rPr>
        <sz val="10"/>
        <rFont val="Times New Roman"/>
        <family val="1"/>
      </rPr>
      <t xml:space="preserve">valsts noteiktajiem garantētajiem minimālo ienākumu sliekšņiem </t>
    </r>
    <r>
      <rPr>
        <b/>
        <sz val="10"/>
        <rFont val="Times New Roman"/>
        <family val="1"/>
      </rPr>
      <t xml:space="preserve">līdz </t>
    </r>
    <r>
      <rPr>
        <sz val="10"/>
        <rFont val="Times New Roman"/>
        <family val="1"/>
      </rPr>
      <t>trūcīgas mājsaimniecības ienākumu sliekšņiem (ieskaitot to)</t>
    </r>
  </si>
  <si>
    <t>sociālo darbinieku skaits, kas sniedz sociāla darba pakalpojumu</t>
  </si>
  <si>
    <t>167</t>
  </si>
  <si>
    <t>168</t>
  </si>
  <si>
    <t>169</t>
  </si>
  <si>
    <t>pakalpojumus saņēmušie klienti (personas) - kopā</t>
  </si>
  <si>
    <t>decembrī aktīvās klientu lietas</t>
  </si>
  <si>
    <t>170</t>
  </si>
  <si>
    <t>171</t>
  </si>
  <si>
    <t>172</t>
  </si>
  <si>
    <t>173</t>
  </si>
  <si>
    <t>174</t>
  </si>
  <si>
    <t>175</t>
  </si>
  <si>
    <t>176</t>
  </si>
  <si>
    <t>177</t>
  </si>
  <si>
    <t>178</t>
  </si>
  <si>
    <t>tāi skaitā, sociālā darba pakalpojumam</t>
  </si>
  <si>
    <r>
      <rPr>
        <sz val="10"/>
        <rFont val="Times New Roman"/>
        <family val="1"/>
      </rPr>
      <t>sociālās rehabilitācijas pakalpojumi</t>
    </r>
    <r>
      <rPr>
        <b/>
        <sz val="10"/>
        <rFont val="Times New Roman"/>
        <family val="1"/>
      </rPr>
      <t xml:space="preserve"> personām ar redzes invaliditāti</t>
    </r>
  </si>
  <si>
    <r>
      <rPr>
        <sz val="10"/>
        <rFont val="Times New Roman"/>
        <family val="1"/>
      </rPr>
      <t>sociālās rehabilitācijas pakalpojumi</t>
    </r>
    <r>
      <rPr>
        <b/>
        <sz val="10"/>
        <rFont val="Times New Roman"/>
        <family val="1"/>
      </rPr>
      <t xml:space="preserve"> personām ar dzirdes invaliditāti</t>
    </r>
  </si>
  <si>
    <t>Sociālā dienesta darbības ietvaros nodrošinātais sociālā darba pakalpojums</t>
  </si>
  <si>
    <t>aktīvo klientu lietu skaits gadā</t>
  </si>
  <si>
    <r>
      <t xml:space="preserve">no tām - ar </t>
    </r>
    <r>
      <rPr>
        <b/>
        <sz val="10"/>
        <rFont val="Times New Roman"/>
        <family val="1"/>
      </rPr>
      <t>izglītību saistītu izdevumu apmaksai</t>
    </r>
  </si>
  <si>
    <t xml:space="preserve">1.5. Ziņas par sociālā dienesta sociālā darba pakalpojumu </t>
  </si>
  <si>
    <t>31517</t>
  </si>
  <si>
    <t>315171</t>
  </si>
  <si>
    <t>315172</t>
  </si>
  <si>
    <t>31518</t>
  </si>
  <si>
    <t>31519</t>
  </si>
  <si>
    <t>3151911</t>
  </si>
  <si>
    <t>3151912</t>
  </si>
  <si>
    <t>3151921</t>
  </si>
  <si>
    <t>3151923</t>
  </si>
  <si>
    <t>5. Citi ārējos tiesību aktos noteiktie pabalsti - atbalsts daudzbērnu ģimenēm</t>
  </si>
  <si>
    <t>3131001</t>
  </si>
  <si>
    <t>3131002</t>
  </si>
  <si>
    <r>
      <t xml:space="preserve">3.1.0.1 Ziņas par pamata pabalstiem </t>
    </r>
    <r>
      <rPr>
        <b/>
        <sz val="12"/>
        <color indexed="30"/>
        <rFont val="Times New Roman"/>
        <family val="1"/>
      </rPr>
      <t>(GMI un mājokļa pabalsts)</t>
    </r>
    <r>
      <rPr>
        <b/>
        <sz val="12"/>
        <rFont val="Times New Roman"/>
        <family val="1"/>
      </rPr>
      <t xml:space="preserve"> - kopā</t>
    </r>
  </si>
  <si>
    <t xml:space="preserve">Virs trūcīgas mājsaimniecības ienākumu sliekšņa </t>
  </si>
  <si>
    <t>līdz 2022.gada 15.februārim</t>
  </si>
  <si>
    <t>Mājokļa pabalsts</t>
  </si>
  <si>
    <t>5.</t>
  </si>
  <si>
    <t>6.</t>
  </si>
  <si>
    <t>Citi ārējos tiesību aktos noteiktie pabalsti - atbalsts daudzbērnu ģimenēm</t>
  </si>
  <si>
    <t xml:space="preserve">Ziņas par sociālā dienesta sociālā darba pakalpojumu </t>
  </si>
  <si>
    <t>Ziņas par pamata pabalstiem (GMI un mājokļa pabalsts) - kopā</t>
  </si>
  <si>
    <t>3.1.0.1</t>
  </si>
  <si>
    <t>Garantētā minimālā ienākuma pabalsts</t>
  </si>
  <si>
    <t>Pabalsts atsevišķu izdevumu apmaksai</t>
  </si>
  <si>
    <t>Mobilā aprūpes brigāde</t>
  </si>
  <si>
    <t>Aprūpe mājās</t>
  </si>
  <si>
    <t>Dienas centrs</t>
  </si>
  <si>
    <t>Brīvā laika pavadīšana</t>
  </si>
  <si>
    <r>
      <t>Pārskatu sagatavoja</t>
    </r>
    <r>
      <rPr>
        <sz val="10"/>
        <rFont val="Times New Roman"/>
        <family val="1"/>
      </rPr>
      <t xml:space="preserve">           __Bauskas struktūrvienības vadītāja Zane Kuka</t>
    </r>
  </si>
  <si>
    <t>zane.kuka@bauska.lv</t>
  </si>
  <si>
    <t>Sociālā dienesta vadītājs              ___Dina Romanovska_____________________________                         __________________</t>
  </si>
  <si>
    <r>
      <t xml:space="preserve">Sociālā dienesta nosaukums </t>
    </r>
    <r>
      <rPr>
        <b/>
        <sz val="11"/>
        <rFont val="Times New Roman"/>
        <family val="1"/>
      </rPr>
      <t>Bauskas novada pašvaldības iestāde "Bauskas novada Sociālais dienests"</t>
    </r>
  </si>
  <si>
    <t>Uzvaras iela 1, Bauska, Bauskas nov., LV 3901</t>
  </si>
  <si>
    <t>Rūpniecības ielā 7, Bauskā, Bauskas nov.</t>
  </si>
  <si>
    <t>LV - 3901</t>
  </si>
  <si>
    <t>Tālrunis 63921805</t>
  </si>
  <si>
    <r>
      <t xml:space="preserve">E - pasts </t>
    </r>
    <r>
      <rPr>
        <b/>
        <sz val="11"/>
        <rFont val="Times New Roman"/>
        <family val="1"/>
      </rPr>
      <t>sociālais dienests@bauska.lv</t>
    </r>
  </si>
  <si>
    <t>nav</t>
  </si>
  <si>
    <t>Tālrunis 63921800</t>
  </si>
  <si>
    <t>Sociālā dienesta vadītājs Dina Romanovska</t>
  </si>
  <si>
    <t>E - pasts dina.romanovska@bauska.lv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</si>
</sst>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Yes&quot;;&quot;Yes&quot;;&quot;No&quot;"/>
    <numFmt numFmtId="187" formatCode="&quot;True&quot;;&quot;True&quot;;&quot;False&quot;"/>
    <numFmt numFmtId="188" formatCode="&quot;On&quot;;&quot;On&quot;;&quot;Off&quot;"/>
    <numFmt numFmtId="189" formatCode="[$€-2]\ #,##0.00_);[Red]\([$€-2]\ #,##0.00\)"/>
  </numFmts>
  <fonts count="93">
    <font>
      <sz val="10"/>
      <name val="Arial"/>
      <family val="0"/>
    </font>
    <font>
      <sz val="10"/>
      <name val="Times New Roman"/>
      <family val="1"/>
    </font>
    <font>
      <b/>
      <i/>
      <sz val="8"/>
      <name val="Times New Roman"/>
      <family val="1"/>
    </font>
    <font>
      <b/>
      <sz val="10"/>
      <name val="Times New Roman"/>
      <family val="1"/>
    </font>
    <font>
      <b/>
      <sz val="14"/>
      <name val="Times New Roman"/>
      <family val="1"/>
    </font>
    <font>
      <b/>
      <sz val="11"/>
      <name val="Times New Roman"/>
      <family val="1"/>
    </font>
    <font>
      <b/>
      <i/>
      <sz val="10"/>
      <name val="Times New Roman"/>
      <family val="1"/>
    </font>
    <font>
      <b/>
      <sz val="20"/>
      <name val="Times New Roman"/>
      <family val="1"/>
    </font>
    <font>
      <sz val="11"/>
      <name val="Times New Roman"/>
      <family val="1"/>
    </font>
    <font>
      <i/>
      <sz val="11"/>
      <name val="Times New Roman"/>
      <family val="1"/>
    </font>
    <font>
      <i/>
      <sz val="9"/>
      <name val="Times New Roman"/>
      <family val="1"/>
    </font>
    <font>
      <b/>
      <i/>
      <sz val="12"/>
      <name val="Times New Roman"/>
      <family val="1"/>
    </font>
    <font>
      <sz val="12"/>
      <name val="Times New Roman"/>
      <family val="1"/>
    </font>
    <font>
      <b/>
      <i/>
      <sz val="11"/>
      <name val="Times New Roman"/>
      <family val="1"/>
    </font>
    <font>
      <sz val="8"/>
      <name val="Times New Roman"/>
      <family val="1"/>
    </font>
    <font>
      <sz val="11"/>
      <name val="Arial"/>
      <family val="2"/>
    </font>
    <font>
      <u val="single"/>
      <sz val="10"/>
      <color indexed="12"/>
      <name val="Arial"/>
      <family val="2"/>
    </font>
    <font>
      <sz val="12"/>
      <name val="Arial"/>
      <family val="2"/>
    </font>
    <font>
      <b/>
      <sz val="12"/>
      <name val="Times New Roman"/>
      <family val="1"/>
    </font>
    <font>
      <u val="single"/>
      <sz val="12"/>
      <name val="Times New Roman"/>
      <family val="1"/>
    </font>
    <font>
      <u val="single"/>
      <sz val="10"/>
      <color indexed="36"/>
      <name val="Arial"/>
      <family val="2"/>
    </font>
    <font>
      <sz val="16"/>
      <name val="Times New Roman"/>
      <family val="1"/>
    </font>
    <font>
      <sz val="8"/>
      <name val="Arial"/>
      <family val="2"/>
    </font>
    <font>
      <b/>
      <sz val="10"/>
      <name val="Arial"/>
      <family val="2"/>
    </font>
    <font>
      <b/>
      <sz val="11"/>
      <name val="Arial"/>
      <family val="2"/>
    </font>
    <font>
      <sz val="14"/>
      <name val="Times New Roman"/>
      <family val="1"/>
    </font>
    <font>
      <sz val="9"/>
      <name val="Times New Roman"/>
      <family val="1"/>
    </font>
    <font>
      <u val="single"/>
      <sz val="9"/>
      <name val="Times New Roman"/>
      <family val="1"/>
    </font>
    <font>
      <sz val="14"/>
      <name val="Arial"/>
      <family val="2"/>
    </font>
    <font>
      <b/>
      <sz val="10"/>
      <color indexed="18"/>
      <name val="Times New Roman"/>
      <family val="1"/>
    </font>
    <font>
      <b/>
      <sz val="10"/>
      <color indexed="10"/>
      <name val="Times New Roman"/>
      <family val="1"/>
    </font>
    <font>
      <sz val="10"/>
      <color indexed="10"/>
      <name val="Times New Roman"/>
      <family val="1"/>
    </font>
    <font>
      <sz val="10"/>
      <color indexed="10"/>
      <name val="Arial"/>
      <family val="2"/>
    </font>
    <font>
      <b/>
      <sz val="10"/>
      <color indexed="61"/>
      <name val="Times New Roman"/>
      <family val="1"/>
    </font>
    <font>
      <b/>
      <sz val="10"/>
      <color indexed="20"/>
      <name val="Times New Roman"/>
      <family val="1"/>
    </font>
    <font>
      <sz val="9"/>
      <name val="Arial"/>
      <family val="2"/>
    </font>
    <font>
      <sz val="11"/>
      <color indexed="10"/>
      <name val="Times New Roman"/>
      <family val="1"/>
    </font>
    <font>
      <sz val="10"/>
      <color indexed="9"/>
      <name val="Arial"/>
      <family val="2"/>
    </font>
    <font>
      <sz val="10"/>
      <color indexed="9"/>
      <name val="Times New Roman"/>
      <family val="1"/>
    </font>
    <font>
      <b/>
      <sz val="10"/>
      <color indexed="18"/>
      <name val="Arial"/>
      <family val="2"/>
    </font>
    <font>
      <i/>
      <sz val="10"/>
      <name val="Times New Roman"/>
      <family val="1"/>
    </font>
    <font>
      <b/>
      <sz val="11"/>
      <color indexed="30"/>
      <name val="Times New Roman"/>
      <family val="1"/>
    </font>
    <font>
      <b/>
      <sz val="12"/>
      <color indexed="3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6"/>
      <name val="Times New Roman"/>
      <family val="1"/>
    </font>
    <font>
      <sz val="10"/>
      <color indexed="30"/>
      <name val="Arial"/>
      <family val="2"/>
    </font>
    <font>
      <b/>
      <sz val="10"/>
      <color indexed="56"/>
      <name val="Arial"/>
      <family val="2"/>
    </font>
    <font>
      <sz val="10"/>
      <color indexed="50"/>
      <name val="Arial"/>
      <family val="2"/>
    </font>
    <font>
      <b/>
      <sz val="10"/>
      <color indexed="30"/>
      <name val="Times New Roman"/>
      <family val="1"/>
    </font>
    <font>
      <sz val="10"/>
      <color indexed="30"/>
      <name val="Times New Roman"/>
      <family val="1"/>
    </font>
    <font>
      <sz val="10"/>
      <color indexed="56"/>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3"/>
      <name val="Times New Roman"/>
      <family val="1"/>
    </font>
    <font>
      <b/>
      <sz val="10"/>
      <color rgb="FFFF0000"/>
      <name val="Times New Roman"/>
      <family val="1"/>
    </font>
    <font>
      <sz val="10"/>
      <color rgb="FF0070C0"/>
      <name val="Arial"/>
      <family val="2"/>
    </font>
    <font>
      <b/>
      <sz val="10"/>
      <color theme="3"/>
      <name val="Arial"/>
      <family val="2"/>
    </font>
    <font>
      <sz val="10"/>
      <color rgb="FF92D050"/>
      <name val="Arial"/>
      <family val="2"/>
    </font>
    <font>
      <sz val="10"/>
      <color rgb="FFFF0000"/>
      <name val="Arial"/>
      <family val="2"/>
    </font>
    <font>
      <b/>
      <sz val="10"/>
      <color rgb="FF0070C0"/>
      <name val="Times New Roman"/>
      <family val="1"/>
    </font>
    <font>
      <sz val="10"/>
      <color rgb="FF0070C0"/>
      <name val="Times New Roman"/>
      <family val="1"/>
    </font>
    <font>
      <sz val="10"/>
      <color theme="3"/>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thin"/>
      <right style="thin"/>
      <top style="medium"/>
      <bottom style="medium"/>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thin"/>
      <top style="medium"/>
      <bottom style="thin"/>
    </border>
    <border>
      <left style="thin"/>
      <right style="thin"/>
      <top style="thin"/>
      <bottom>
        <color indexed="63"/>
      </bottom>
    </border>
    <border>
      <left style="thin"/>
      <right style="medium"/>
      <top style="thin"/>
      <bottom>
        <color indexed="63"/>
      </bottom>
    </border>
    <border>
      <left style="thin"/>
      <right style="thin"/>
      <top style="medium"/>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medium"/>
      <top>
        <color indexed="63"/>
      </top>
      <bottom style="thin"/>
    </border>
    <border>
      <left style="thin"/>
      <right>
        <color indexed="63"/>
      </right>
      <top>
        <color indexed="63"/>
      </top>
      <bottom>
        <color indexed="63"/>
      </bottom>
    </border>
    <border>
      <left style="thin"/>
      <right style="medium"/>
      <top style="medium"/>
      <bottom>
        <color indexed="63"/>
      </bottom>
    </border>
    <border>
      <left>
        <color indexed="63"/>
      </left>
      <right style="medium"/>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medium"/>
      <right style="thin"/>
      <top style="thin"/>
      <bottom>
        <color indexed="63"/>
      </bottom>
    </border>
    <border>
      <left>
        <color indexed="63"/>
      </left>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color indexed="63"/>
      </top>
      <bottom>
        <color indexed="63"/>
      </bottom>
    </border>
    <border>
      <left style="medium"/>
      <right style="thin"/>
      <top>
        <color indexed="63"/>
      </top>
      <bottom style="thin"/>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style="medium"/>
      <bottom>
        <color indexed="63"/>
      </bottom>
    </border>
    <border>
      <left style="thin"/>
      <right style="thin"/>
      <top>
        <color indexed="63"/>
      </top>
      <bottom style="medium"/>
    </border>
    <border>
      <left>
        <color indexed="63"/>
      </left>
      <right style="thin"/>
      <top>
        <color indexed="63"/>
      </top>
      <bottom style="thin"/>
    </border>
    <border>
      <left>
        <color indexed="63"/>
      </left>
      <right style="medium"/>
      <top style="thin"/>
      <bottom style="thin"/>
    </border>
    <border>
      <left>
        <color indexed="63"/>
      </left>
      <right style="medium"/>
      <top style="thin"/>
      <bottom style="mediu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style="medium"/>
    </border>
    <border>
      <left style="medium"/>
      <right>
        <color indexed="63"/>
      </right>
      <top style="thin"/>
      <bottom style="thin"/>
    </border>
    <border>
      <left style="medium"/>
      <right>
        <color indexed="63"/>
      </right>
      <top style="medium"/>
      <bottom style="thin"/>
    </border>
    <border>
      <left style="thin"/>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72" fillId="0" borderId="0" applyNumberFormat="0" applyFill="0" applyBorder="0" applyAlignment="0" applyProtection="0"/>
    <xf numFmtId="0" fontId="20"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943">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1" fillId="0" borderId="0" xfId="0" applyFont="1" applyAlignment="1">
      <alignment horizontal="right"/>
    </xf>
    <xf numFmtId="0" fontId="1" fillId="0" borderId="0" xfId="0" applyFont="1" applyAlignment="1" applyProtection="1">
      <alignment/>
      <protection/>
    </xf>
    <xf numFmtId="14" fontId="1" fillId="0" borderId="0" xfId="0" applyNumberFormat="1" applyFont="1" applyBorder="1" applyAlignment="1" applyProtection="1">
      <alignment horizontal="left"/>
      <protection locked="0"/>
    </xf>
    <xf numFmtId="0" fontId="5" fillId="0" borderId="0" xfId="0" applyFont="1" applyAlignment="1">
      <alignment/>
    </xf>
    <xf numFmtId="0" fontId="5" fillId="0" borderId="0" xfId="0" applyFont="1" applyFill="1" applyAlignment="1">
      <alignment/>
    </xf>
    <xf numFmtId="0" fontId="1" fillId="0" borderId="0" xfId="0" applyFont="1" applyFill="1" applyAlignment="1">
      <alignment/>
    </xf>
    <xf numFmtId="0" fontId="1" fillId="0" borderId="0" xfId="0" applyFont="1" applyAlignment="1">
      <alignment/>
    </xf>
    <xf numFmtId="0" fontId="6" fillId="0" borderId="0" xfId="0" applyFont="1" applyAlignment="1">
      <alignment vertical="top" wrapText="1"/>
    </xf>
    <xf numFmtId="0" fontId="6" fillId="0" borderId="0" xfId="0" applyFont="1" applyAlignment="1">
      <alignment/>
    </xf>
    <xf numFmtId="0" fontId="8" fillId="0" borderId="0" xfId="0" applyFont="1" applyBorder="1" applyAlignment="1" applyProtection="1">
      <alignment/>
      <protection/>
    </xf>
    <xf numFmtId="0" fontId="9" fillId="0" borderId="0" xfId="0" applyFont="1" applyBorder="1" applyAlignment="1" applyProtection="1">
      <alignment/>
      <protection/>
    </xf>
    <xf numFmtId="0" fontId="10" fillId="0" borderId="0" xfId="0" applyFont="1" applyBorder="1" applyAlignment="1" applyProtection="1">
      <alignment/>
      <protection/>
    </xf>
    <xf numFmtId="0" fontId="10" fillId="0" borderId="0" xfId="0" applyFont="1" applyFill="1" applyBorder="1" applyAlignment="1" applyProtection="1">
      <alignment/>
      <protection/>
    </xf>
    <xf numFmtId="0" fontId="12" fillId="0" borderId="10" xfId="0" applyFont="1" applyFill="1" applyBorder="1" applyAlignment="1" applyProtection="1">
      <alignment horizontal="left"/>
      <protection locked="0"/>
    </xf>
    <xf numFmtId="0" fontId="11" fillId="0" borderId="11" xfId="0" applyFont="1" applyFill="1" applyBorder="1" applyAlignment="1" applyProtection="1">
      <alignment horizontal="left"/>
      <protection locked="0"/>
    </xf>
    <xf numFmtId="0" fontId="8" fillId="0" borderId="11" xfId="0" applyFont="1" applyBorder="1" applyAlignment="1">
      <alignment/>
    </xf>
    <xf numFmtId="0" fontId="8" fillId="0" borderId="0" xfId="0" applyFont="1" applyBorder="1" applyAlignment="1">
      <alignment/>
    </xf>
    <xf numFmtId="0" fontId="1" fillId="0" borderId="0" xfId="0" applyFont="1" applyBorder="1" applyAlignment="1">
      <alignment/>
    </xf>
    <xf numFmtId="0" fontId="8" fillId="0" borderId="12" xfId="0" applyFont="1" applyBorder="1" applyAlignment="1">
      <alignment/>
    </xf>
    <xf numFmtId="0" fontId="14" fillId="0" borderId="12" xfId="0" applyFont="1" applyBorder="1" applyAlignment="1">
      <alignment/>
    </xf>
    <xf numFmtId="0" fontId="13" fillId="0" borderId="12" xfId="0" applyFont="1" applyFill="1" applyBorder="1" applyAlignment="1" applyProtection="1">
      <alignment horizontal="left"/>
      <protection locked="0"/>
    </xf>
    <xf numFmtId="0" fontId="8" fillId="0" borderId="12" xfId="0" applyFont="1" applyFill="1" applyBorder="1" applyAlignment="1" applyProtection="1">
      <alignment horizontal="left"/>
      <protection locked="0"/>
    </xf>
    <xf numFmtId="0" fontId="13" fillId="0" borderId="0" xfId="0" applyFont="1" applyBorder="1" applyAlignment="1" applyProtection="1">
      <alignment horizontal="center"/>
      <protection locked="0"/>
    </xf>
    <xf numFmtId="0" fontId="8" fillId="0" borderId="0" xfId="0" applyFont="1" applyBorder="1" applyAlignment="1">
      <alignment/>
    </xf>
    <xf numFmtId="0" fontId="0" fillId="0" borderId="0" xfId="0" applyBorder="1" applyAlignment="1">
      <alignment/>
    </xf>
    <xf numFmtId="0" fontId="14" fillId="0" borderId="0" xfId="0" applyFont="1" applyBorder="1" applyAlignment="1">
      <alignment/>
    </xf>
    <xf numFmtId="0" fontId="8" fillId="0" borderId="0" xfId="0" applyFont="1" applyAlignment="1">
      <alignment/>
    </xf>
    <xf numFmtId="0" fontId="13" fillId="0" borderId="0" xfId="0" applyFont="1" applyFill="1" applyBorder="1" applyAlignment="1" applyProtection="1">
      <alignment horizontal="left"/>
      <protection locked="0"/>
    </xf>
    <xf numFmtId="0" fontId="8" fillId="0" borderId="10" xfId="0" applyFont="1" applyBorder="1" applyAlignment="1">
      <alignment/>
    </xf>
    <xf numFmtId="0" fontId="0" fillId="0" borderId="10" xfId="0" applyBorder="1" applyAlignment="1">
      <alignment/>
    </xf>
    <xf numFmtId="0" fontId="8" fillId="0" borderId="10" xfId="0" applyFont="1" applyBorder="1" applyAlignment="1">
      <alignment/>
    </xf>
    <xf numFmtId="0" fontId="13" fillId="0" borderId="10" xfId="0" applyFont="1" applyBorder="1" applyAlignment="1" applyProtection="1">
      <alignment horizontal="center"/>
      <protection locked="0"/>
    </xf>
    <xf numFmtId="0" fontId="1" fillId="0" borderId="0" xfId="0" applyFont="1" applyAlignment="1">
      <alignment wrapText="1"/>
    </xf>
    <xf numFmtId="0" fontId="17" fillId="0" borderId="0" xfId="0" applyFont="1" applyAlignment="1">
      <alignment/>
    </xf>
    <xf numFmtId="49" fontId="8" fillId="0" borderId="0" xfId="0" applyNumberFormat="1" applyFont="1" applyAlignment="1">
      <alignment horizontal="right" vertical="top"/>
    </xf>
    <xf numFmtId="0" fontId="17" fillId="0" borderId="0" xfId="0" applyFont="1" applyAlignment="1">
      <alignment vertical="center"/>
    </xf>
    <xf numFmtId="49" fontId="18" fillId="0" borderId="13" xfId="0" applyNumberFormat="1" applyFont="1" applyBorder="1" applyAlignment="1">
      <alignment horizontal="center" vertical="center"/>
    </xf>
    <xf numFmtId="0" fontId="4" fillId="0" borderId="14" xfId="0" applyFont="1" applyBorder="1" applyAlignment="1">
      <alignment horizontal="center" vertical="center" wrapText="1"/>
    </xf>
    <xf numFmtId="49" fontId="5" fillId="0" borderId="15" xfId="0" applyNumberFormat="1" applyFont="1" applyBorder="1" applyAlignment="1">
      <alignment horizontal="right" vertical="center"/>
    </xf>
    <xf numFmtId="49" fontId="8" fillId="0" borderId="16" xfId="0" applyNumberFormat="1" applyFont="1" applyBorder="1" applyAlignment="1">
      <alignment horizontal="right" vertical="top"/>
    </xf>
    <xf numFmtId="0" fontId="12" fillId="0" borderId="17" xfId="0" applyFont="1" applyBorder="1" applyAlignment="1">
      <alignment wrapText="1"/>
    </xf>
    <xf numFmtId="49" fontId="5" fillId="0" borderId="16" xfId="0" applyNumberFormat="1" applyFont="1" applyBorder="1" applyAlignment="1">
      <alignment horizontal="right" vertical="center"/>
    </xf>
    <xf numFmtId="0" fontId="19" fillId="0" borderId="17" xfId="53" applyFont="1" applyBorder="1" applyAlignment="1" applyProtection="1">
      <alignment wrapText="1"/>
      <protection/>
    </xf>
    <xf numFmtId="49" fontId="5" fillId="0" borderId="16" xfId="0" applyNumberFormat="1" applyFont="1" applyBorder="1" applyAlignment="1">
      <alignment horizontal="right"/>
    </xf>
    <xf numFmtId="49" fontId="5" fillId="0" borderId="18" xfId="0" applyNumberFormat="1" applyFont="1" applyBorder="1" applyAlignment="1">
      <alignment horizontal="right"/>
    </xf>
    <xf numFmtId="0" fontId="18" fillId="0" borderId="19" xfId="0" applyFont="1" applyBorder="1" applyAlignment="1">
      <alignment wrapText="1"/>
    </xf>
    <xf numFmtId="0" fontId="18" fillId="0" borderId="17" xfId="0" applyFont="1" applyBorder="1" applyAlignment="1">
      <alignment wrapText="1"/>
    </xf>
    <xf numFmtId="0" fontId="18" fillId="0" borderId="20" xfId="0" applyFont="1" applyBorder="1" applyAlignment="1">
      <alignment wrapText="1"/>
    </xf>
    <xf numFmtId="0" fontId="5" fillId="0" borderId="21" xfId="0" applyFont="1" applyBorder="1" applyAlignment="1">
      <alignment horizontal="center" vertical="center" wrapText="1"/>
    </xf>
    <xf numFmtId="0" fontId="5" fillId="0" borderId="14" xfId="0" applyFont="1" applyBorder="1" applyAlignment="1">
      <alignment horizontal="center" vertical="center"/>
    </xf>
    <xf numFmtId="0" fontId="1" fillId="0" borderId="22" xfId="0" applyFont="1" applyBorder="1" applyAlignment="1">
      <alignment/>
    </xf>
    <xf numFmtId="0" fontId="1" fillId="0" borderId="22" xfId="0" applyFont="1" applyBorder="1" applyAlignment="1">
      <alignment wrapText="1"/>
    </xf>
    <xf numFmtId="0" fontId="1" fillId="0" borderId="23" xfId="0" applyFont="1" applyBorder="1" applyAlignment="1">
      <alignment/>
    </xf>
    <xf numFmtId="0" fontId="0" fillId="0" borderId="0" xfId="0" applyAlignment="1">
      <alignment vertical="center" wrapText="1"/>
    </xf>
    <xf numFmtId="0" fontId="18" fillId="0" borderId="0" xfId="0" applyFont="1" applyAlignment="1">
      <alignment/>
    </xf>
    <xf numFmtId="0" fontId="5" fillId="0" borderId="0" xfId="0" applyFont="1" applyAlignment="1">
      <alignment horizontal="center" vertical="center"/>
    </xf>
    <xf numFmtId="0" fontId="0" fillId="0" borderId="0" xfId="0" applyAlignment="1">
      <alignment horizontal="center"/>
    </xf>
    <xf numFmtId="0" fontId="1" fillId="0" borderId="22" xfId="0" applyFont="1" applyBorder="1" applyAlignment="1">
      <alignment/>
    </xf>
    <xf numFmtId="0" fontId="1" fillId="0" borderId="22" xfId="0" applyFont="1" applyBorder="1" applyAlignment="1">
      <alignment horizontal="center" vertical="center"/>
    </xf>
    <xf numFmtId="0" fontId="1" fillId="0" borderId="22" xfId="0" applyFont="1" applyBorder="1" applyAlignment="1">
      <alignment horizontal="center" vertical="center" wrapText="1"/>
    </xf>
    <xf numFmtId="0" fontId="0" fillId="0" borderId="0" xfId="0" applyFont="1" applyAlignment="1">
      <alignment/>
    </xf>
    <xf numFmtId="0" fontId="1" fillId="0" borderId="0" xfId="0" applyFont="1" applyAlignment="1">
      <alignment horizontal="center"/>
    </xf>
    <xf numFmtId="0" fontId="1" fillId="0" borderId="24" xfId="0" applyFont="1" applyBorder="1" applyAlignment="1">
      <alignment horizontal="center" vertical="center" wrapText="1"/>
    </xf>
    <xf numFmtId="0" fontId="1" fillId="0" borderId="17" xfId="0" applyFont="1" applyBorder="1" applyAlignment="1">
      <alignment horizontal="center" vertical="center"/>
    </xf>
    <xf numFmtId="0" fontId="1" fillId="0" borderId="23" xfId="0" applyFont="1" applyBorder="1" applyAlignment="1">
      <alignment wrapText="1"/>
    </xf>
    <xf numFmtId="0" fontId="1" fillId="0" borderId="23" xfId="0" applyFont="1" applyBorder="1" applyAlignment="1">
      <alignment horizontal="center" vertical="center" wrapText="1"/>
    </xf>
    <xf numFmtId="0" fontId="1" fillId="0" borderId="25" xfId="0" applyFont="1" applyBorder="1" applyAlignment="1">
      <alignment wrapText="1"/>
    </xf>
    <xf numFmtId="0" fontId="1"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1" fillId="0" borderId="22" xfId="0" applyFont="1" applyBorder="1" applyAlignment="1">
      <alignment horizontal="center" wrapText="1"/>
    </xf>
    <xf numFmtId="0" fontId="1" fillId="0" borderId="22" xfId="0" applyFont="1" applyBorder="1" applyAlignment="1">
      <alignment horizontal="center"/>
    </xf>
    <xf numFmtId="0" fontId="1" fillId="0" borderId="23" xfId="0" applyFont="1" applyBorder="1" applyAlignment="1">
      <alignment horizontal="center"/>
    </xf>
    <xf numFmtId="0" fontId="1" fillId="0" borderId="26"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0" xfId="0" applyFont="1" applyBorder="1" applyAlignment="1">
      <alignment horizontal="center" vertical="center" wrapText="1"/>
    </xf>
    <xf numFmtId="0" fontId="1" fillId="0" borderId="24" xfId="0" applyFont="1" applyBorder="1" applyAlignment="1">
      <alignment horizontal="center" wrapText="1"/>
    </xf>
    <xf numFmtId="0" fontId="3" fillId="0" borderId="22" xfId="0" applyFont="1" applyBorder="1" applyAlignment="1">
      <alignment vertical="center"/>
    </xf>
    <xf numFmtId="0" fontId="0" fillId="0" borderId="0" xfId="0" applyBorder="1" applyAlignment="1">
      <alignment/>
    </xf>
    <xf numFmtId="0" fontId="1" fillId="0" borderId="22" xfId="0" applyFont="1" applyFill="1" applyBorder="1" applyAlignment="1">
      <alignment wrapText="1"/>
    </xf>
    <xf numFmtId="0" fontId="3" fillId="0" borderId="28" xfId="0" applyFont="1" applyBorder="1" applyAlignment="1">
      <alignment horizontal="center" vertical="center" wrapText="1"/>
    </xf>
    <xf numFmtId="0" fontId="1" fillId="0" borderId="23" xfId="0" applyFont="1" applyFill="1" applyBorder="1" applyAlignment="1">
      <alignment wrapText="1"/>
    </xf>
    <xf numFmtId="49" fontId="5" fillId="0" borderId="21" xfId="0" applyNumberFormat="1" applyFont="1" applyBorder="1" applyAlignment="1">
      <alignment horizontal="center" vertical="center" wrapText="1"/>
    </xf>
    <xf numFmtId="49" fontId="1" fillId="0" borderId="25" xfId="0" applyNumberFormat="1" applyFont="1" applyBorder="1" applyAlignment="1">
      <alignment wrapText="1"/>
    </xf>
    <xf numFmtId="49" fontId="1" fillId="0" borderId="22" xfId="0" applyNumberFormat="1" applyFont="1" applyBorder="1" applyAlignment="1">
      <alignment horizontal="right" wrapText="1"/>
    </xf>
    <xf numFmtId="49" fontId="1" fillId="0" borderId="22" xfId="0" applyNumberFormat="1" applyFont="1" applyBorder="1" applyAlignment="1">
      <alignment horizontal="center" wrapText="1"/>
    </xf>
    <xf numFmtId="49" fontId="1" fillId="0" borderId="22" xfId="0" applyNumberFormat="1" applyFont="1" applyBorder="1" applyAlignment="1">
      <alignment/>
    </xf>
    <xf numFmtId="49" fontId="1" fillId="0" borderId="23" xfId="0" applyNumberFormat="1" applyFont="1" applyBorder="1" applyAlignment="1">
      <alignment/>
    </xf>
    <xf numFmtId="49" fontId="1" fillId="0" borderId="0" xfId="0" applyNumberFormat="1" applyFont="1" applyAlignment="1">
      <alignment/>
    </xf>
    <xf numFmtId="49" fontId="1" fillId="0" borderId="22" xfId="0" applyNumberFormat="1" applyFont="1" applyBorder="1" applyAlignment="1">
      <alignment horizontal="right"/>
    </xf>
    <xf numFmtId="49" fontId="1" fillId="0" borderId="22" xfId="0" applyNumberFormat="1" applyFont="1" applyBorder="1" applyAlignment="1">
      <alignment horizontal="center"/>
    </xf>
    <xf numFmtId="49" fontId="1" fillId="0" borderId="22" xfId="0" applyNumberFormat="1" applyFont="1" applyBorder="1" applyAlignment="1">
      <alignment horizontal="center" vertical="center"/>
    </xf>
    <xf numFmtId="49" fontId="1" fillId="0" borderId="25" xfId="0" applyNumberFormat="1" applyFont="1" applyBorder="1" applyAlignment="1">
      <alignment/>
    </xf>
    <xf numFmtId="49" fontId="0" fillId="0" borderId="0" xfId="0" applyNumberFormat="1" applyAlignment="1">
      <alignment/>
    </xf>
    <xf numFmtId="49" fontId="1" fillId="0" borderId="25" xfId="0" applyNumberFormat="1" applyFont="1" applyBorder="1" applyAlignment="1">
      <alignment horizontal="left"/>
    </xf>
    <xf numFmtId="49" fontId="1" fillId="0" borderId="23" xfId="0" applyNumberFormat="1" applyFont="1" applyBorder="1" applyAlignment="1">
      <alignment horizontal="left"/>
    </xf>
    <xf numFmtId="49" fontId="1" fillId="0" borderId="25" xfId="0" applyNumberFormat="1" applyFont="1" applyBorder="1" applyAlignment="1">
      <alignment horizontal="center"/>
    </xf>
    <xf numFmtId="49" fontId="1" fillId="0" borderId="23" xfId="0" applyNumberFormat="1" applyFont="1" applyBorder="1" applyAlignment="1">
      <alignment horizontal="center"/>
    </xf>
    <xf numFmtId="49" fontId="0" fillId="0" borderId="0" xfId="0" applyNumberFormat="1" applyAlignment="1">
      <alignment horizontal="center"/>
    </xf>
    <xf numFmtId="49" fontId="1" fillId="0" borderId="22" xfId="0" applyNumberFormat="1" applyFont="1" applyBorder="1" applyAlignment="1">
      <alignment/>
    </xf>
    <xf numFmtId="49" fontId="1" fillId="0" borderId="22" xfId="0" applyNumberFormat="1" applyFont="1" applyBorder="1" applyAlignment="1">
      <alignment vertical="center" wrapText="1"/>
    </xf>
    <xf numFmtId="49" fontId="1" fillId="0" borderId="23" xfId="0" applyNumberFormat="1" applyFont="1" applyBorder="1" applyAlignment="1">
      <alignment/>
    </xf>
    <xf numFmtId="49" fontId="3" fillId="0" borderId="28" xfId="0" applyNumberFormat="1" applyFont="1" applyBorder="1" applyAlignment="1">
      <alignment horizontal="center" vertical="center" wrapText="1"/>
    </xf>
    <xf numFmtId="49" fontId="1" fillId="0" borderId="24" xfId="0" applyNumberFormat="1" applyFont="1" applyBorder="1" applyAlignment="1">
      <alignment/>
    </xf>
    <xf numFmtId="49" fontId="1" fillId="0" borderId="23" xfId="0" applyNumberFormat="1" applyFont="1" applyBorder="1" applyAlignment="1">
      <alignment horizontal="right"/>
    </xf>
    <xf numFmtId="49" fontId="1" fillId="0" borderId="22" xfId="0" applyNumberFormat="1" applyFont="1" applyBorder="1" applyAlignment="1">
      <alignment horizontal="left"/>
    </xf>
    <xf numFmtId="49" fontId="1" fillId="0" borderId="24" xfId="0" applyNumberFormat="1" applyFont="1" applyBorder="1" applyAlignment="1">
      <alignment horizontal="center"/>
    </xf>
    <xf numFmtId="49" fontId="0" fillId="0" borderId="0" xfId="0" applyNumberFormat="1" applyBorder="1" applyAlignment="1">
      <alignment/>
    </xf>
    <xf numFmtId="49" fontId="1" fillId="0" borderId="26" xfId="0" applyNumberFormat="1" applyFont="1" applyBorder="1" applyAlignment="1">
      <alignment horizontal="center"/>
    </xf>
    <xf numFmtId="49" fontId="1" fillId="0" borderId="22" xfId="0" applyNumberFormat="1" applyFont="1" applyFill="1" applyBorder="1" applyAlignment="1">
      <alignment wrapText="1"/>
    </xf>
    <xf numFmtId="49" fontId="1" fillId="0" borderId="22" xfId="0" applyNumberFormat="1" applyFont="1" applyFill="1" applyBorder="1" applyAlignment="1">
      <alignment horizontal="center"/>
    </xf>
    <xf numFmtId="0" fontId="30" fillId="0" borderId="17" xfId="0" applyFont="1" applyBorder="1" applyAlignment="1">
      <alignment horizontal="center"/>
    </xf>
    <xf numFmtId="0" fontId="30" fillId="0" borderId="19" xfId="0" applyFont="1" applyBorder="1" applyAlignment="1">
      <alignment horizontal="center"/>
    </xf>
    <xf numFmtId="0" fontId="30" fillId="0" borderId="22" xfId="0" applyFont="1" applyBorder="1" applyAlignment="1">
      <alignment horizontal="center" vertical="center"/>
    </xf>
    <xf numFmtId="0" fontId="30" fillId="0" borderId="24" xfId="0" applyFont="1" applyBorder="1" applyAlignment="1">
      <alignment horizontal="center" vertical="center"/>
    </xf>
    <xf numFmtId="0" fontId="30" fillId="0" borderId="25" xfId="0" applyFont="1" applyBorder="1" applyAlignment="1">
      <alignment horizontal="center" vertical="center"/>
    </xf>
    <xf numFmtId="0" fontId="31" fillId="0" borderId="0" xfId="0" applyFont="1" applyAlignment="1">
      <alignment/>
    </xf>
    <xf numFmtId="0" fontId="32" fillId="0" borderId="0" xfId="0" applyFont="1" applyAlignment="1">
      <alignment/>
    </xf>
    <xf numFmtId="0" fontId="30" fillId="0" borderId="22" xfId="0" applyFont="1" applyFill="1" applyBorder="1" applyAlignment="1">
      <alignment horizontal="center" vertical="center"/>
    </xf>
    <xf numFmtId="0" fontId="30" fillId="0" borderId="17" xfId="0" applyFont="1" applyBorder="1" applyAlignment="1">
      <alignment horizontal="center" vertical="center"/>
    </xf>
    <xf numFmtId="0" fontId="32" fillId="0" borderId="0" xfId="0" applyFont="1" applyAlignment="1">
      <alignment/>
    </xf>
    <xf numFmtId="49" fontId="1" fillId="0" borderId="22" xfId="0" applyNumberFormat="1" applyFont="1" applyBorder="1" applyAlignment="1">
      <alignment horizontal="left" vertical="center"/>
    </xf>
    <xf numFmtId="0" fontId="33" fillId="0" borderId="0" xfId="0" applyFont="1" applyAlignment="1">
      <alignment/>
    </xf>
    <xf numFmtId="0" fontId="34" fillId="0" borderId="29" xfId="0" applyFont="1" applyFill="1" applyBorder="1" applyAlignment="1">
      <alignment horizontal="center" vertical="center"/>
    </xf>
    <xf numFmtId="0" fontId="34" fillId="0" borderId="0" xfId="0" applyFont="1" applyAlignment="1">
      <alignment/>
    </xf>
    <xf numFmtId="0" fontId="30" fillId="0" borderId="19" xfId="0" applyFont="1" applyBorder="1" applyAlignment="1">
      <alignment horizontal="center" vertical="center"/>
    </xf>
    <xf numFmtId="0" fontId="30" fillId="0" borderId="17" xfId="0" applyFont="1" applyFill="1" applyBorder="1" applyAlignment="1">
      <alignment horizontal="center" vertical="center"/>
    </xf>
    <xf numFmtId="0" fontId="34" fillId="0" borderId="30" xfId="0" applyFont="1" applyFill="1" applyBorder="1" applyAlignment="1">
      <alignment horizontal="center" vertical="center"/>
    </xf>
    <xf numFmtId="0" fontId="30" fillId="0" borderId="31" xfId="0" applyFont="1" applyBorder="1" applyAlignment="1">
      <alignment horizontal="center" vertical="center"/>
    </xf>
    <xf numFmtId="0" fontId="5" fillId="0" borderId="21" xfId="0" applyFont="1" applyBorder="1" applyAlignment="1" applyProtection="1">
      <alignment horizontal="center" vertical="center" wrapText="1"/>
      <protection/>
    </xf>
    <xf numFmtId="0" fontId="29" fillId="0" borderId="19" xfId="0" applyFont="1" applyBorder="1" applyAlignment="1" applyProtection="1">
      <alignment horizontal="center"/>
      <protection locked="0"/>
    </xf>
    <xf numFmtId="0" fontId="29" fillId="0" borderId="17" xfId="0" applyFont="1" applyBorder="1" applyAlignment="1" applyProtection="1">
      <alignment horizontal="center"/>
      <protection locked="0"/>
    </xf>
    <xf numFmtId="0" fontId="29" fillId="0" borderId="20" xfId="0" applyFont="1" applyBorder="1" applyAlignment="1" applyProtection="1">
      <alignment horizontal="center"/>
      <protection locked="0"/>
    </xf>
    <xf numFmtId="0" fontId="29" fillId="0" borderId="24" xfId="0" applyFont="1" applyBorder="1" applyAlignment="1" applyProtection="1">
      <alignment horizontal="center" vertical="center"/>
      <protection locked="0"/>
    </xf>
    <xf numFmtId="0" fontId="29" fillId="0" borderId="31" xfId="0" applyFont="1" applyBorder="1" applyAlignment="1" applyProtection="1">
      <alignment horizontal="center" vertical="center"/>
      <protection locked="0"/>
    </xf>
    <xf numFmtId="0" fontId="29" fillId="0" borderId="22" xfId="0" applyFont="1" applyBorder="1" applyAlignment="1" applyProtection="1">
      <alignment horizontal="center" vertical="center"/>
      <protection locked="0"/>
    </xf>
    <xf numFmtId="0" fontId="29" fillId="0" borderId="17" xfId="0" applyFont="1" applyBorder="1" applyAlignment="1" applyProtection="1">
      <alignment horizontal="center" vertical="center"/>
      <protection locked="0"/>
    </xf>
    <xf numFmtId="0" fontId="29" fillId="0" borderId="23" xfId="0" applyFont="1" applyBorder="1" applyAlignment="1" applyProtection="1">
      <alignment horizontal="center" vertical="center"/>
      <protection locked="0"/>
    </xf>
    <xf numFmtId="0" fontId="29" fillId="0" borderId="20" xfId="0" applyFont="1" applyBorder="1" applyAlignment="1" applyProtection="1">
      <alignment horizontal="center" vertical="center"/>
      <protection locked="0"/>
    </xf>
    <xf numFmtId="0" fontId="29" fillId="0" borderId="25" xfId="0" applyFont="1" applyBorder="1" applyAlignment="1" applyProtection="1">
      <alignment horizontal="center" vertical="center"/>
      <protection locked="0"/>
    </xf>
    <xf numFmtId="0" fontId="29" fillId="0" borderId="19" xfId="0" applyFont="1" applyBorder="1" applyAlignment="1" applyProtection="1">
      <alignment horizontal="center" vertical="center"/>
      <protection locked="0"/>
    </xf>
    <xf numFmtId="0" fontId="29" fillId="0" borderId="26" xfId="0" applyFont="1" applyBorder="1" applyAlignment="1" applyProtection="1">
      <alignment horizontal="center" vertical="center"/>
      <protection locked="0"/>
    </xf>
    <xf numFmtId="0" fontId="0" fillId="0" borderId="0" xfId="0" applyAlignment="1" applyProtection="1">
      <alignment/>
      <protection/>
    </xf>
    <xf numFmtId="49" fontId="5" fillId="0" borderId="21" xfId="0" applyNumberFormat="1" applyFont="1" applyBorder="1" applyAlignment="1" applyProtection="1">
      <alignment horizontal="center" vertical="center" wrapText="1"/>
      <protection/>
    </xf>
    <xf numFmtId="0" fontId="5" fillId="0" borderId="14" xfId="0" applyFont="1" applyBorder="1" applyAlignment="1" applyProtection="1">
      <alignment horizontal="center" vertical="center"/>
      <protection/>
    </xf>
    <xf numFmtId="0" fontId="1" fillId="0" borderId="25" xfId="0" applyFont="1" applyBorder="1" applyAlignment="1" applyProtection="1">
      <alignment wrapText="1"/>
      <protection/>
    </xf>
    <xf numFmtId="49" fontId="1" fillId="0" borderId="25" xfId="0" applyNumberFormat="1" applyFont="1" applyBorder="1" applyAlignment="1" applyProtection="1">
      <alignment wrapText="1"/>
      <protection/>
    </xf>
    <xf numFmtId="0" fontId="30" fillId="0" borderId="19" xfId="0" applyFont="1" applyBorder="1" applyAlignment="1" applyProtection="1">
      <alignment horizontal="center"/>
      <protection/>
    </xf>
    <xf numFmtId="0" fontId="34" fillId="0" borderId="0" xfId="0" applyFont="1" applyAlignment="1" applyProtection="1">
      <alignment/>
      <protection/>
    </xf>
    <xf numFmtId="0" fontId="32" fillId="0" borderId="0" xfId="0" applyFont="1" applyAlignment="1" applyProtection="1">
      <alignment/>
      <protection/>
    </xf>
    <xf numFmtId="0" fontId="1" fillId="0" borderId="22" xfId="0" applyFont="1" applyBorder="1" applyAlignment="1" applyProtection="1">
      <alignment wrapText="1"/>
      <protection/>
    </xf>
    <xf numFmtId="49" fontId="1" fillId="0" borderId="22" xfId="0" applyNumberFormat="1" applyFont="1" applyBorder="1" applyAlignment="1" applyProtection="1">
      <alignment horizontal="center" wrapText="1"/>
      <protection/>
    </xf>
    <xf numFmtId="0" fontId="0" fillId="0" borderId="0" xfId="0" applyFont="1" applyAlignment="1" applyProtection="1">
      <alignment/>
      <protection/>
    </xf>
    <xf numFmtId="49" fontId="1" fillId="0" borderId="22" xfId="0" applyNumberFormat="1" applyFont="1" applyBorder="1" applyAlignment="1" applyProtection="1">
      <alignment wrapText="1"/>
      <protection/>
    </xf>
    <xf numFmtId="49" fontId="1" fillId="0" borderId="22" xfId="0" applyNumberFormat="1" applyFont="1" applyBorder="1" applyAlignment="1" applyProtection="1">
      <alignment/>
      <protection/>
    </xf>
    <xf numFmtId="0" fontId="30" fillId="0" borderId="17" xfId="0" applyFont="1" applyBorder="1" applyAlignment="1" applyProtection="1">
      <alignment horizontal="center"/>
      <protection/>
    </xf>
    <xf numFmtId="0" fontId="32" fillId="0" borderId="0" xfId="0" applyFont="1" applyAlignment="1" applyProtection="1">
      <alignment/>
      <protection/>
    </xf>
    <xf numFmtId="49" fontId="1" fillId="0" borderId="22" xfId="0" applyNumberFormat="1" applyFont="1" applyBorder="1" applyAlignment="1" applyProtection="1">
      <alignment horizontal="right"/>
      <protection/>
    </xf>
    <xf numFmtId="49" fontId="1" fillId="0" borderId="22" xfId="0" applyNumberFormat="1" applyFont="1" applyBorder="1" applyAlignment="1" applyProtection="1">
      <alignment horizontal="center"/>
      <protection/>
    </xf>
    <xf numFmtId="49" fontId="1" fillId="0" borderId="22" xfId="0" applyNumberFormat="1" applyFont="1" applyBorder="1" applyAlignment="1" applyProtection="1">
      <alignment horizontal="left"/>
      <protection/>
    </xf>
    <xf numFmtId="0" fontId="1" fillId="0" borderId="23" xfId="0" applyFont="1" applyBorder="1" applyAlignment="1" applyProtection="1">
      <alignment wrapText="1"/>
      <protection/>
    </xf>
    <xf numFmtId="49" fontId="1" fillId="0" borderId="23" xfId="0" applyNumberFormat="1" applyFont="1" applyBorder="1" applyAlignment="1" applyProtection="1">
      <alignment/>
      <protection/>
    </xf>
    <xf numFmtId="49" fontId="0" fillId="0" borderId="0" xfId="0" applyNumberFormat="1" applyAlignment="1" applyProtection="1">
      <alignment/>
      <protection/>
    </xf>
    <xf numFmtId="0" fontId="3" fillId="0" borderId="21" xfId="0" applyFont="1" applyBorder="1" applyAlignment="1" applyProtection="1">
      <alignment horizontal="center" vertical="center" wrapText="1"/>
      <protection/>
    </xf>
    <xf numFmtId="49" fontId="3" fillId="0" borderId="21" xfId="0" applyNumberFormat="1" applyFont="1" applyBorder="1" applyAlignment="1" applyProtection="1">
      <alignment horizontal="center" vertical="center" wrapText="1"/>
      <protection/>
    </xf>
    <xf numFmtId="0" fontId="3" fillId="0" borderId="14" xfId="0" applyFont="1" applyBorder="1" applyAlignment="1" applyProtection="1">
      <alignment horizontal="center" vertical="center"/>
      <protection/>
    </xf>
    <xf numFmtId="49" fontId="1" fillId="0" borderId="23" xfId="0" applyNumberFormat="1" applyFont="1" applyBorder="1" applyAlignment="1" applyProtection="1">
      <alignment horizontal="right" wrapText="1"/>
      <protection/>
    </xf>
    <xf numFmtId="0" fontId="0" fillId="0" borderId="0" xfId="0" applyAlignment="1" applyProtection="1">
      <alignment/>
      <protection locked="0"/>
    </xf>
    <xf numFmtId="49" fontId="0" fillId="0" borderId="0" xfId="0" applyNumberFormat="1" applyAlignment="1" applyProtection="1">
      <alignment/>
      <protection locked="0"/>
    </xf>
    <xf numFmtId="0" fontId="1" fillId="0" borderId="0" xfId="0" applyFont="1" applyAlignment="1" applyProtection="1">
      <alignment/>
      <protection locked="0"/>
    </xf>
    <xf numFmtId="49" fontId="1" fillId="0" borderId="0" xfId="0" applyNumberFormat="1" applyFont="1" applyAlignment="1" applyProtection="1">
      <alignment/>
      <protection locked="0"/>
    </xf>
    <xf numFmtId="0" fontId="0" fillId="0" borderId="0" xfId="0" applyAlignment="1" applyProtection="1">
      <alignment horizontal="center" vertical="center"/>
      <protection/>
    </xf>
    <xf numFmtId="49" fontId="1" fillId="0" borderId="22" xfId="0" applyNumberFormat="1" applyFont="1" applyBorder="1" applyAlignment="1" applyProtection="1">
      <alignment horizontal="right" wrapText="1"/>
      <protection/>
    </xf>
    <xf numFmtId="0" fontId="33" fillId="0" borderId="0" xfId="0" applyFont="1" applyAlignment="1" applyProtection="1">
      <alignment/>
      <protection/>
    </xf>
    <xf numFmtId="0" fontId="8" fillId="0" borderId="0" xfId="0" applyFont="1" applyAlignment="1" applyProtection="1">
      <alignment wrapText="1"/>
      <protection/>
    </xf>
    <xf numFmtId="49" fontId="8" fillId="0" borderId="0" xfId="0" applyNumberFormat="1" applyFont="1" applyAlignment="1" applyProtection="1">
      <alignment wrapText="1"/>
      <protection/>
    </xf>
    <xf numFmtId="0" fontId="8" fillId="0" borderId="0" xfId="0" applyFont="1" applyAlignment="1" applyProtection="1">
      <alignment horizontal="center"/>
      <protection/>
    </xf>
    <xf numFmtId="49" fontId="1" fillId="0" borderId="25" xfId="0" applyNumberFormat="1" applyFont="1" applyBorder="1" applyAlignment="1" applyProtection="1">
      <alignment/>
      <protection locked="0"/>
    </xf>
    <xf numFmtId="49" fontId="1" fillId="0" borderId="22" xfId="0" applyNumberFormat="1" applyFont="1" applyBorder="1" applyAlignment="1" applyProtection="1">
      <alignment/>
      <protection locked="0"/>
    </xf>
    <xf numFmtId="49" fontId="1" fillId="0" borderId="23" xfId="0" applyNumberFormat="1" applyFont="1" applyBorder="1" applyAlignment="1" applyProtection="1">
      <alignment/>
      <protection locked="0"/>
    </xf>
    <xf numFmtId="0" fontId="32" fillId="0" borderId="0" xfId="0" applyFont="1" applyAlignment="1">
      <alignment horizontal="left" vertical="center" wrapText="1"/>
    </xf>
    <xf numFmtId="0" fontId="0" fillId="0" borderId="0" xfId="0" applyFont="1" applyBorder="1" applyAlignment="1">
      <alignment/>
    </xf>
    <xf numFmtId="0" fontId="34" fillId="0" borderId="0" xfId="0" applyFont="1" applyFill="1" applyBorder="1" applyAlignment="1">
      <alignment horizontal="center" vertical="center"/>
    </xf>
    <xf numFmtId="0" fontId="34" fillId="0" borderId="32" xfId="0" applyFont="1" applyFill="1" applyBorder="1" applyAlignment="1">
      <alignment horizontal="left" vertical="center"/>
    </xf>
    <xf numFmtId="0" fontId="34" fillId="0" borderId="0" xfId="0" applyFont="1" applyFill="1" applyBorder="1" applyAlignment="1">
      <alignment horizontal="left" vertical="center"/>
    </xf>
    <xf numFmtId="0" fontId="32" fillId="0" borderId="0" xfId="0" applyFont="1" applyBorder="1" applyAlignment="1">
      <alignment/>
    </xf>
    <xf numFmtId="0" fontId="1" fillId="0" borderId="22" xfId="0" applyFont="1" applyFill="1" applyBorder="1" applyAlignment="1">
      <alignment/>
    </xf>
    <xf numFmtId="49" fontId="1" fillId="0" borderId="22" xfId="0" applyNumberFormat="1" applyFont="1" applyFill="1" applyBorder="1" applyAlignment="1">
      <alignment horizontal="right"/>
    </xf>
    <xf numFmtId="0" fontId="1" fillId="0" borderId="22" xfId="0" applyFont="1" applyFill="1" applyBorder="1" applyAlignment="1">
      <alignment horizontal="center" vertical="center" wrapText="1"/>
    </xf>
    <xf numFmtId="0" fontId="29" fillId="0" borderId="22" xfId="0" applyFont="1" applyFill="1" applyBorder="1" applyAlignment="1" applyProtection="1">
      <alignment horizontal="center" vertical="center"/>
      <protection locked="0"/>
    </xf>
    <xf numFmtId="0" fontId="0" fillId="0" borderId="0" xfId="0" applyFill="1" applyAlignment="1">
      <alignment/>
    </xf>
    <xf numFmtId="0" fontId="1" fillId="0" borderId="22" xfId="0" applyFont="1" applyFill="1" applyBorder="1" applyAlignment="1">
      <alignment/>
    </xf>
    <xf numFmtId="0" fontId="34" fillId="0" borderId="0" xfId="0" applyFont="1" applyFill="1" applyAlignment="1">
      <alignment/>
    </xf>
    <xf numFmtId="0" fontId="32" fillId="0" borderId="0" xfId="0" applyFont="1" applyFill="1" applyAlignment="1">
      <alignment/>
    </xf>
    <xf numFmtId="0" fontId="29" fillId="0" borderId="0" xfId="0" applyFont="1" applyBorder="1" applyAlignment="1" applyProtection="1">
      <alignment horizontal="center"/>
      <protection locked="0"/>
    </xf>
    <xf numFmtId="0" fontId="29" fillId="0" borderId="27" xfId="0" applyFont="1" applyBorder="1" applyAlignment="1" applyProtection="1">
      <alignment horizontal="center" vertical="center"/>
      <protection locked="0"/>
    </xf>
    <xf numFmtId="0" fontId="29" fillId="0" borderId="17" xfId="0" applyFont="1" applyFill="1" applyBorder="1" applyAlignment="1" applyProtection="1">
      <alignment horizontal="center" vertical="center"/>
      <protection locked="0"/>
    </xf>
    <xf numFmtId="0" fontId="30" fillId="0" borderId="33" xfId="0" applyFont="1" applyBorder="1" applyAlignment="1" applyProtection="1">
      <alignment horizontal="center"/>
      <protection/>
    </xf>
    <xf numFmtId="1" fontId="35" fillId="0" borderId="22" xfId="0" applyNumberFormat="1" applyFont="1" applyBorder="1" applyAlignment="1">
      <alignment/>
    </xf>
    <xf numFmtId="0" fontId="3" fillId="0" borderId="26" xfId="0" applyFont="1" applyBorder="1" applyAlignment="1" applyProtection="1">
      <alignment horizontal="center" vertical="center" wrapText="1"/>
      <protection/>
    </xf>
    <xf numFmtId="0" fontId="3" fillId="0" borderId="27" xfId="0" applyFont="1" applyBorder="1" applyAlignment="1" applyProtection="1">
      <alignment horizontal="center" vertical="center" wrapText="1"/>
      <protection/>
    </xf>
    <xf numFmtId="49" fontId="1" fillId="0" borderId="22" xfId="0" applyNumberFormat="1" applyFont="1" applyBorder="1" applyAlignment="1" applyProtection="1">
      <alignment horizontal="left" vertical="center" wrapText="1"/>
      <protection/>
    </xf>
    <xf numFmtId="0" fontId="1" fillId="0" borderId="22" xfId="0" applyFont="1" applyBorder="1" applyAlignment="1" applyProtection="1">
      <alignment horizontal="center" vertical="center" wrapText="1"/>
      <protection/>
    </xf>
    <xf numFmtId="0" fontId="30" fillId="0" borderId="22" xfId="0" applyFont="1" applyBorder="1" applyAlignment="1" applyProtection="1">
      <alignment horizontal="center" vertical="center" wrapText="1"/>
      <protection/>
    </xf>
    <xf numFmtId="0" fontId="30" fillId="0" borderId="17" xfId="0" applyFont="1" applyBorder="1" applyAlignment="1" applyProtection="1">
      <alignment horizontal="center" vertical="center" wrapText="1"/>
      <protection/>
    </xf>
    <xf numFmtId="0" fontId="1" fillId="0" borderId="17" xfId="0" applyFont="1" applyBorder="1" applyAlignment="1" applyProtection="1">
      <alignment horizontal="center" vertical="center" wrapText="1"/>
      <protection/>
    </xf>
    <xf numFmtId="0" fontId="34" fillId="0" borderId="0" xfId="0" applyFont="1" applyFill="1" applyBorder="1" applyAlignment="1" applyProtection="1">
      <alignment horizontal="left" vertical="center"/>
      <protection/>
    </xf>
    <xf numFmtId="49" fontId="1" fillId="0" borderId="24" xfId="0" applyNumberFormat="1" applyFont="1" applyBorder="1" applyAlignment="1" applyProtection="1">
      <alignment/>
      <protection/>
    </xf>
    <xf numFmtId="0" fontId="1" fillId="0" borderId="24" xfId="0" applyFont="1" applyBorder="1" applyAlignment="1" applyProtection="1">
      <alignment horizontal="center" wrapText="1"/>
      <protection/>
    </xf>
    <xf numFmtId="0" fontId="1" fillId="0" borderId="22" xfId="0" applyFont="1" applyBorder="1" applyAlignment="1" applyProtection="1">
      <alignment horizontal="center"/>
      <protection/>
    </xf>
    <xf numFmtId="0" fontId="1" fillId="0" borderId="22" xfId="0" applyFont="1" applyBorder="1" applyAlignment="1" applyProtection="1">
      <alignment horizontal="center" vertical="center"/>
      <protection/>
    </xf>
    <xf numFmtId="0" fontId="1" fillId="0" borderId="17" xfId="0" applyFont="1" applyBorder="1" applyAlignment="1" applyProtection="1">
      <alignment horizontal="center" vertical="center"/>
      <protection/>
    </xf>
    <xf numFmtId="0" fontId="0" fillId="0" borderId="0" xfId="0" applyFont="1" applyAlignment="1" applyProtection="1">
      <alignment/>
      <protection/>
    </xf>
    <xf numFmtId="0" fontId="30" fillId="0" borderId="22" xfId="0" applyFont="1" applyBorder="1" applyAlignment="1" applyProtection="1">
      <alignment horizontal="center" vertical="center"/>
      <protection/>
    </xf>
    <xf numFmtId="0" fontId="30" fillId="0" borderId="17" xfId="0" applyFont="1" applyBorder="1" applyAlignment="1" applyProtection="1">
      <alignment horizontal="center" vertical="center"/>
      <protection/>
    </xf>
    <xf numFmtId="49" fontId="1" fillId="0" borderId="25" xfId="0" applyNumberFormat="1" applyFont="1" applyBorder="1" applyAlignment="1" applyProtection="1">
      <alignment/>
      <protection/>
    </xf>
    <xf numFmtId="0" fontId="1" fillId="0" borderId="25" xfId="0" applyFont="1" applyBorder="1" applyAlignment="1" applyProtection="1">
      <alignment horizontal="center" wrapText="1"/>
      <protection/>
    </xf>
    <xf numFmtId="0" fontId="1" fillId="0" borderId="23" xfId="0" applyFont="1" applyBorder="1" applyAlignment="1" applyProtection="1">
      <alignment horizontal="center" vertical="center" wrapText="1"/>
      <protection/>
    </xf>
    <xf numFmtId="49" fontId="1" fillId="0" borderId="22" xfId="0" applyNumberFormat="1" applyFont="1" applyFill="1" applyBorder="1" applyAlignment="1" applyProtection="1">
      <alignment wrapText="1"/>
      <protection/>
    </xf>
    <xf numFmtId="0" fontId="1" fillId="0" borderId="22" xfId="0" applyFont="1" applyFill="1" applyBorder="1" applyAlignment="1" applyProtection="1">
      <alignment wrapText="1"/>
      <protection/>
    </xf>
    <xf numFmtId="0" fontId="30" fillId="0" borderId="17" xfId="0" applyFont="1" applyFill="1" applyBorder="1" applyAlignment="1" applyProtection="1">
      <alignment horizontal="center"/>
      <protection/>
    </xf>
    <xf numFmtId="0" fontId="32" fillId="0" borderId="0" xfId="0" applyFont="1" applyAlignment="1" applyProtection="1">
      <alignment vertical="center"/>
      <protection/>
    </xf>
    <xf numFmtId="0" fontId="0" fillId="0" borderId="0" xfId="0" applyFont="1" applyFill="1" applyAlignment="1" applyProtection="1">
      <alignment/>
      <protection/>
    </xf>
    <xf numFmtId="0" fontId="3" fillId="0" borderId="0" xfId="0" applyFont="1" applyAlignment="1">
      <alignment horizontal="center" vertical="center"/>
    </xf>
    <xf numFmtId="0" fontId="32" fillId="0" borderId="0" xfId="0" applyFont="1" applyAlignment="1" applyProtection="1">
      <alignment/>
      <protection/>
    </xf>
    <xf numFmtId="0" fontId="36" fillId="0" borderId="0" xfId="0" applyFont="1" applyAlignment="1">
      <alignment/>
    </xf>
    <xf numFmtId="0" fontId="37" fillId="0" borderId="0" xfId="0" applyFont="1" applyAlignment="1">
      <alignment/>
    </xf>
    <xf numFmtId="0" fontId="37" fillId="0" borderId="0" xfId="0" applyFont="1" applyAlignment="1" applyProtection="1">
      <alignment/>
      <protection/>
    </xf>
    <xf numFmtId="0" fontId="37" fillId="0" borderId="0" xfId="0" applyFont="1" applyAlignment="1" applyProtection="1">
      <alignment vertical="center"/>
      <protection/>
    </xf>
    <xf numFmtId="0" fontId="38" fillId="0" borderId="0" xfId="0" applyFont="1" applyAlignment="1" applyProtection="1">
      <alignment/>
      <protection hidden="1"/>
    </xf>
    <xf numFmtId="0" fontId="39" fillId="0" borderId="0" xfId="0" applyFont="1" applyBorder="1" applyAlignment="1" applyProtection="1">
      <alignment/>
      <protection locked="0"/>
    </xf>
    <xf numFmtId="0" fontId="39" fillId="0" borderId="34" xfId="0" applyFont="1" applyBorder="1" applyAlignment="1" applyProtection="1">
      <alignment/>
      <protection locked="0"/>
    </xf>
    <xf numFmtId="0" fontId="0" fillId="0" borderId="0" xfId="0" applyAlignment="1">
      <alignment wrapText="1"/>
    </xf>
    <xf numFmtId="0" fontId="1" fillId="0" borderId="0" xfId="0" applyFont="1" applyFill="1" applyAlignment="1">
      <alignment/>
    </xf>
    <xf numFmtId="0" fontId="40" fillId="0" borderId="22" xfId="0" applyFont="1" applyBorder="1" applyAlignment="1">
      <alignment horizontal="center"/>
    </xf>
    <xf numFmtId="0" fontId="40" fillId="0" borderId="22" xfId="0" applyFont="1" applyBorder="1" applyAlignment="1">
      <alignment horizontal="center" vertical="center"/>
    </xf>
    <xf numFmtId="0" fontId="40" fillId="0" borderId="22" xfId="0" applyFont="1" applyBorder="1" applyAlignment="1">
      <alignment horizontal="center" vertical="center" wrapText="1"/>
    </xf>
    <xf numFmtId="0" fontId="40" fillId="0" borderId="22" xfId="0" applyFont="1" applyBorder="1" applyAlignment="1" applyProtection="1">
      <alignment horizontal="center"/>
      <protection/>
    </xf>
    <xf numFmtId="0" fontId="40" fillId="0" borderId="22" xfId="0" applyFont="1" applyBorder="1" applyAlignment="1" applyProtection="1">
      <alignment horizontal="center" vertical="center" wrapText="1"/>
      <protection/>
    </xf>
    <xf numFmtId="0" fontId="40" fillId="0" borderId="25" xfId="0" applyFont="1" applyBorder="1" applyAlignment="1" applyProtection="1">
      <alignment wrapText="1"/>
      <protection/>
    </xf>
    <xf numFmtId="0" fontId="40" fillId="0" borderId="35" xfId="0" applyFont="1" applyBorder="1" applyAlignment="1" applyProtection="1">
      <alignment wrapText="1"/>
      <protection/>
    </xf>
    <xf numFmtId="0" fontId="40" fillId="0" borderId="22" xfId="0" applyFont="1" applyBorder="1" applyAlignment="1" applyProtection="1">
      <alignment wrapText="1"/>
      <protection/>
    </xf>
    <xf numFmtId="0" fontId="40" fillId="0" borderId="22" xfId="0" applyFont="1" applyBorder="1" applyAlignment="1">
      <alignment wrapText="1"/>
    </xf>
    <xf numFmtId="0" fontId="40" fillId="0" borderId="25" xfId="0" applyFont="1" applyBorder="1" applyAlignment="1">
      <alignment wrapText="1"/>
    </xf>
    <xf numFmtId="0" fontId="3" fillId="0" borderId="33" xfId="0" applyFont="1" applyBorder="1" applyAlignment="1">
      <alignment horizontal="center" vertical="center" wrapText="1"/>
    </xf>
    <xf numFmtId="0" fontId="34" fillId="0" borderId="0" xfId="0" applyFont="1" applyAlignment="1">
      <alignment wrapText="1"/>
    </xf>
    <xf numFmtId="0" fontId="32" fillId="0" borderId="0" xfId="0" applyFont="1" applyAlignment="1">
      <alignment wrapText="1"/>
    </xf>
    <xf numFmtId="0" fontId="29" fillId="0" borderId="17" xfId="0" applyFont="1" applyBorder="1" applyAlignment="1" applyProtection="1">
      <alignment horizontal="center" wrapText="1"/>
      <protection locked="0"/>
    </xf>
    <xf numFmtId="0" fontId="32" fillId="0" borderId="0" xfId="0" applyFont="1" applyAlignment="1">
      <alignment wrapText="1"/>
    </xf>
    <xf numFmtId="0" fontId="23" fillId="0" borderId="0" xfId="0" applyFont="1" applyAlignment="1">
      <alignment wrapText="1"/>
    </xf>
    <xf numFmtId="0" fontId="0" fillId="0" borderId="0" xfId="0" applyAlignment="1">
      <alignment horizontal="left" wrapText="1"/>
    </xf>
    <xf numFmtId="49" fontId="0" fillId="0" borderId="0" xfId="0" applyNumberFormat="1" applyAlignment="1">
      <alignment wrapText="1"/>
    </xf>
    <xf numFmtId="0" fontId="84" fillId="0" borderId="31" xfId="0" applyFont="1" applyFill="1" applyBorder="1" applyAlignment="1" applyProtection="1">
      <alignment horizontal="center"/>
      <protection locked="0"/>
    </xf>
    <xf numFmtId="0" fontId="84" fillId="0" borderId="17" xfId="0" applyFont="1" applyFill="1" applyBorder="1" applyAlignment="1" applyProtection="1">
      <alignment horizontal="center"/>
      <protection locked="0"/>
    </xf>
    <xf numFmtId="0" fontId="85" fillId="0" borderId="17" xfId="0" applyFont="1" applyFill="1" applyBorder="1" applyAlignment="1">
      <alignment horizontal="center"/>
    </xf>
    <xf numFmtId="0" fontId="84" fillId="0" borderId="20" xfId="0" applyFont="1" applyFill="1" applyBorder="1" applyAlignment="1" applyProtection="1">
      <alignment horizontal="center"/>
      <protection locked="0"/>
    </xf>
    <xf numFmtId="0" fontId="0" fillId="0" borderId="0" xfId="0" applyFont="1" applyAlignment="1">
      <alignment wrapText="1"/>
    </xf>
    <xf numFmtId="0" fontId="0" fillId="0" borderId="0" xfId="0" applyAlignment="1">
      <alignment/>
    </xf>
    <xf numFmtId="0" fontId="0" fillId="0" borderId="0" xfId="0" applyFont="1" applyAlignment="1">
      <alignment/>
    </xf>
    <xf numFmtId="0" fontId="86" fillId="0" borderId="0" xfId="0" applyFont="1" applyAlignment="1" applyProtection="1">
      <alignment/>
      <protection/>
    </xf>
    <xf numFmtId="0" fontId="29" fillId="0" borderId="31" xfId="0" applyFont="1" applyFill="1" applyBorder="1" applyAlignment="1" applyProtection="1">
      <alignment horizontal="center"/>
      <protection locked="0"/>
    </xf>
    <xf numFmtId="0" fontId="29" fillId="0" borderId="17" xfId="0" applyFont="1" applyFill="1" applyBorder="1" applyAlignment="1" applyProtection="1">
      <alignment horizontal="center"/>
      <protection locked="0"/>
    </xf>
    <xf numFmtId="0" fontId="29" fillId="0" borderId="27" xfId="0" applyFont="1" applyFill="1" applyBorder="1" applyAlignment="1" applyProtection="1">
      <alignment horizontal="center"/>
      <protection locked="0"/>
    </xf>
    <xf numFmtId="49" fontId="1" fillId="0" borderId="24" xfId="0" applyNumberFormat="1" applyFont="1" applyFill="1" applyBorder="1" applyAlignment="1" applyProtection="1">
      <alignment wrapText="1"/>
      <protection/>
    </xf>
    <xf numFmtId="49" fontId="1" fillId="0" borderId="22" xfId="0" applyNumberFormat="1" applyFont="1" applyFill="1" applyBorder="1" applyAlignment="1" applyProtection="1">
      <alignment horizontal="center" wrapText="1"/>
      <protection/>
    </xf>
    <xf numFmtId="49" fontId="1" fillId="0" borderId="22" xfId="0" applyNumberFormat="1" applyFont="1" applyFill="1" applyBorder="1" applyAlignment="1" applyProtection="1">
      <alignment/>
      <protection/>
    </xf>
    <xf numFmtId="49" fontId="1" fillId="0" borderId="22" xfId="0" applyNumberFormat="1" applyFont="1" applyFill="1" applyBorder="1" applyAlignment="1" applyProtection="1">
      <alignment horizontal="right"/>
      <protection/>
    </xf>
    <xf numFmtId="49" fontId="1" fillId="0" borderId="22" xfId="0" applyNumberFormat="1" applyFont="1" applyFill="1" applyBorder="1" applyAlignment="1" applyProtection="1">
      <alignment horizontal="center"/>
      <protection/>
    </xf>
    <xf numFmtId="0" fontId="40" fillId="0" borderId="24" xfId="0" applyFont="1" applyFill="1" applyBorder="1" applyAlignment="1" applyProtection="1">
      <alignment wrapText="1"/>
      <protection/>
    </xf>
    <xf numFmtId="0" fontId="30" fillId="0" borderId="31" xfId="0" applyFont="1" applyFill="1" applyBorder="1" applyAlignment="1" applyProtection="1">
      <alignment horizontal="center"/>
      <protection/>
    </xf>
    <xf numFmtId="49" fontId="1" fillId="0" borderId="24" xfId="0" applyNumberFormat="1" applyFont="1" applyFill="1" applyBorder="1" applyAlignment="1" applyProtection="1">
      <alignment horizontal="center" wrapText="1"/>
      <protection/>
    </xf>
    <xf numFmtId="0" fontId="40" fillId="0" borderId="22" xfId="0" applyFont="1" applyFill="1" applyBorder="1" applyAlignment="1" applyProtection="1">
      <alignment wrapText="1"/>
      <protection/>
    </xf>
    <xf numFmtId="49" fontId="1" fillId="0" borderId="24" xfId="0" applyNumberFormat="1" applyFont="1" applyFill="1" applyBorder="1" applyAlignment="1" applyProtection="1">
      <alignment horizontal="right" wrapText="1"/>
      <protection/>
    </xf>
    <xf numFmtId="0" fontId="1" fillId="0" borderId="23" xfId="0" applyFont="1" applyFill="1" applyBorder="1" applyAlignment="1" applyProtection="1">
      <alignment wrapText="1"/>
      <protection/>
    </xf>
    <xf numFmtId="49" fontId="1" fillId="0" borderId="23" xfId="0" applyNumberFormat="1" applyFont="1" applyFill="1" applyBorder="1" applyAlignment="1" applyProtection="1">
      <alignment horizontal="right" wrapText="1"/>
      <protection/>
    </xf>
    <xf numFmtId="0" fontId="29" fillId="0" borderId="20" xfId="0" applyFont="1" applyFill="1" applyBorder="1" applyAlignment="1" applyProtection="1">
      <alignment horizontal="center"/>
      <protection locked="0"/>
    </xf>
    <xf numFmtId="49" fontId="1" fillId="0" borderId="22" xfId="0" applyNumberFormat="1" applyFont="1" applyFill="1" applyBorder="1" applyAlignment="1">
      <alignment horizontal="center" wrapText="1"/>
    </xf>
    <xf numFmtId="0" fontId="40" fillId="0" borderId="22" xfId="0" applyFont="1" applyFill="1" applyBorder="1" applyAlignment="1">
      <alignment wrapText="1"/>
    </xf>
    <xf numFmtId="0" fontId="30" fillId="19" borderId="19" xfId="0" applyFont="1" applyFill="1" applyBorder="1" applyAlignment="1">
      <alignment horizontal="center" wrapText="1"/>
    </xf>
    <xf numFmtId="0" fontId="1" fillId="0" borderId="35" xfId="0" applyFont="1" applyFill="1" applyBorder="1" applyAlignment="1" applyProtection="1">
      <alignment wrapText="1"/>
      <protection/>
    </xf>
    <xf numFmtId="0" fontId="1" fillId="0" borderId="22" xfId="0" applyFont="1" applyFill="1" applyBorder="1" applyAlignment="1" applyProtection="1">
      <alignment vertical="center" wrapText="1"/>
      <protection/>
    </xf>
    <xf numFmtId="0" fontId="1" fillId="0" borderId="22" xfId="0" applyFont="1" applyFill="1" applyBorder="1" applyAlignment="1" applyProtection="1">
      <alignment/>
      <protection/>
    </xf>
    <xf numFmtId="0" fontId="1" fillId="0" borderId="35" xfId="0" applyFont="1" applyFill="1" applyBorder="1" applyAlignment="1">
      <alignment/>
    </xf>
    <xf numFmtId="0" fontId="1" fillId="0" borderId="25" xfId="0" applyFont="1" applyFill="1" applyBorder="1" applyAlignment="1" applyProtection="1">
      <alignment wrapText="1"/>
      <protection/>
    </xf>
    <xf numFmtId="0" fontId="18" fillId="33" borderId="0" xfId="0" applyFont="1" applyFill="1" applyAlignment="1" applyProtection="1">
      <alignment/>
      <protection/>
    </xf>
    <xf numFmtId="0" fontId="0" fillId="33" borderId="0" xfId="0" applyFill="1" applyAlignment="1" applyProtection="1">
      <alignment/>
      <protection/>
    </xf>
    <xf numFmtId="49" fontId="0" fillId="33" borderId="0" xfId="0" applyNumberFormat="1" applyFill="1" applyAlignment="1" applyProtection="1">
      <alignment/>
      <protection/>
    </xf>
    <xf numFmtId="0" fontId="1" fillId="0" borderId="26" xfId="0" applyFont="1" applyFill="1" applyBorder="1" applyAlignment="1" applyProtection="1">
      <alignment wrapText="1"/>
      <protection/>
    </xf>
    <xf numFmtId="49" fontId="1" fillId="0" borderId="26" xfId="0" applyNumberFormat="1" applyFont="1" applyFill="1" applyBorder="1" applyAlignment="1" applyProtection="1">
      <alignment/>
      <protection/>
    </xf>
    <xf numFmtId="0" fontId="85" fillId="0" borderId="17" xfId="0" applyFont="1" applyFill="1" applyBorder="1" applyAlignment="1" applyProtection="1">
      <alignment horizontal="center"/>
      <protection/>
    </xf>
    <xf numFmtId="0" fontId="1" fillId="0" borderId="22" xfId="0" applyFont="1" applyFill="1" applyBorder="1" applyAlignment="1" applyProtection="1">
      <alignment/>
      <protection/>
    </xf>
    <xf numFmtId="0" fontId="84" fillId="0" borderId="17" xfId="0" applyFont="1" applyBorder="1" applyAlignment="1" applyProtection="1">
      <alignment horizontal="center"/>
      <protection locked="0"/>
    </xf>
    <xf numFmtId="0" fontId="84" fillId="0" borderId="27" xfId="0" applyFont="1" applyFill="1" applyBorder="1" applyAlignment="1" applyProtection="1">
      <alignment horizontal="center"/>
      <protection locked="0"/>
    </xf>
    <xf numFmtId="0" fontId="87" fillId="0" borderId="22" xfId="0" applyFont="1" applyFill="1" applyBorder="1" applyAlignment="1" applyProtection="1">
      <alignment horizontal="center"/>
      <protection locked="0"/>
    </xf>
    <xf numFmtId="0" fontId="1" fillId="0" borderId="36" xfId="0" applyFont="1" applyFill="1" applyBorder="1" applyAlignment="1">
      <alignment horizontal="left" wrapText="1"/>
    </xf>
    <xf numFmtId="0" fontId="29" fillId="0" borderId="17" xfId="0" applyFont="1" applyFill="1" applyBorder="1" applyAlignment="1" applyProtection="1">
      <alignment horizontal="center" wrapText="1"/>
      <protection locked="0"/>
    </xf>
    <xf numFmtId="0" fontId="30" fillId="0" borderId="17" xfId="0" applyFont="1" applyFill="1" applyBorder="1" applyAlignment="1">
      <alignment horizontal="center" wrapText="1"/>
    </xf>
    <xf numFmtId="49" fontId="1" fillId="0" borderId="22" xfId="0" applyNumberFormat="1" applyFont="1" applyFill="1" applyBorder="1" applyAlignment="1">
      <alignment horizontal="right" wrapText="1"/>
    </xf>
    <xf numFmtId="0" fontId="1" fillId="0" borderId="22" xfId="0" applyFont="1" applyFill="1" applyBorder="1" applyAlignment="1">
      <alignment horizontal="left" wrapText="1"/>
    </xf>
    <xf numFmtId="0" fontId="85" fillId="0" borderId="17" xfId="0" applyFont="1" applyFill="1" applyBorder="1" applyAlignment="1" applyProtection="1">
      <alignment horizontal="center" wrapText="1"/>
      <protection locked="0"/>
    </xf>
    <xf numFmtId="0" fontId="1" fillId="0" borderId="36" xfId="0" applyFont="1" applyFill="1" applyBorder="1" applyAlignment="1">
      <alignment/>
    </xf>
    <xf numFmtId="0" fontId="0" fillId="0" borderId="0" xfId="0" applyFill="1" applyAlignment="1" applyProtection="1">
      <alignment/>
      <protection/>
    </xf>
    <xf numFmtId="0" fontId="40" fillId="0" borderId="37" xfId="0" applyFont="1" applyFill="1" applyBorder="1" applyAlignment="1" applyProtection="1">
      <alignment wrapText="1"/>
      <protection/>
    </xf>
    <xf numFmtId="0" fontId="40" fillId="0" borderId="35" xfId="0" applyFont="1" applyFill="1" applyBorder="1" applyAlignment="1" applyProtection="1">
      <alignment wrapText="1"/>
      <protection/>
    </xf>
    <xf numFmtId="49" fontId="5" fillId="0" borderId="21" xfId="0" applyNumberFormat="1"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protection/>
    </xf>
    <xf numFmtId="49" fontId="1" fillId="0" borderId="25" xfId="0" applyNumberFormat="1" applyFont="1" applyFill="1" applyBorder="1" applyAlignment="1" applyProtection="1">
      <alignment wrapText="1"/>
      <protection/>
    </xf>
    <xf numFmtId="0" fontId="40" fillId="0" borderId="25" xfId="0" applyFont="1" applyFill="1" applyBorder="1" applyAlignment="1" applyProtection="1">
      <alignment wrapText="1"/>
      <protection/>
    </xf>
    <xf numFmtId="0" fontId="30" fillId="0" borderId="19" xfId="0" applyFont="1" applyFill="1" applyBorder="1" applyAlignment="1" applyProtection="1">
      <alignment horizontal="center"/>
      <protection/>
    </xf>
    <xf numFmtId="49" fontId="0" fillId="0" borderId="0" xfId="0" applyNumberFormat="1" applyFill="1" applyAlignment="1" applyProtection="1">
      <alignment/>
      <protection/>
    </xf>
    <xf numFmtId="0" fontId="34" fillId="0" borderId="0" xfId="0" applyFont="1" applyFill="1" applyAlignment="1" applyProtection="1">
      <alignment/>
      <protection/>
    </xf>
    <xf numFmtId="0" fontId="32" fillId="0" borderId="0" xfId="0" applyFont="1" applyFill="1" applyAlignment="1" applyProtection="1">
      <alignment/>
      <protection/>
    </xf>
    <xf numFmtId="0" fontId="32" fillId="0" borderId="0" xfId="0" applyFont="1" applyFill="1" applyAlignment="1" applyProtection="1">
      <alignment/>
      <protection/>
    </xf>
    <xf numFmtId="0" fontId="88" fillId="0" borderId="0" xfId="0" applyFont="1" applyFill="1" applyAlignment="1" applyProtection="1">
      <alignment/>
      <protection/>
    </xf>
    <xf numFmtId="0" fontId="1" fillId="0" borderId="24" xfId="0" applyFont="1" applyFill="1" applyBorder="1" applyAlignment="1" applyProtection="1">
      <alignment vertical="center" wrapText="1"/>
      <protection/>
    </xf>
    <xf numFmtId="49" fontId="1" fillId="0" borderId="22" xfId="0" applyNumberFormat="1" applyFont="1" applyFill="1" applyBorder="1" applyAlignment="1" applyProtection="1">
      <alignment horizontal="left"/>
      <protection/>
    </xf>
    <xf numFmtId="49" fontId="1" fillId="0" borderId="23" xfId="0" applyNumberFormat="1" applyFont="1" applyFill="1" applyBorder="1" applyAlignment="1" applyProtection="1">
      <alignment horizontal="center"/>
      <protection/>
    </xf>
    <xf numFmtId="0" fontId="9" fillId="0" borderId="0" xfId="0" applyFont="1" applyFill="1" applyAlignment="1" applyProtection="1">
      <alignment/>
      <protection/>
    </xf>
    <xf numFmtId="0" fontId="89" fillId="0" borderId="0" xfId="0" applyFont="1" applyFill="1" applyAlignment="1" applyProtection="1">
      <alignment/>
      <protection/>
    </xf>
    <xf numFmtId="0" fontId="18" fillId="0" borderId="0" xfId="0" applyFont="1" applyFill="1" applyAlignment="1" applyProtection="1">
      <alignment/>
      <protection/>
    </xf>
    <xf numFmtId="49" fontId="5" fillId="0" borderId="28" xfId="0" applyNumberFormat="1" applyFont="1" applyFill="1" applyBorder="1" applyAlignment="1" applyProtection="1">
      <alignment horizontal="center" vertical="center" wrapText="1"/>
      <protection/>
    </xf>
    <xf numFmtId="0" fontId="5" fillId="0" borderId="28" xfId="0" applyFont="1" applyFill="1" applyBorder="1" applyAlignment="1" applyProtection="1">
      <alignment horizontal="center" vertical="center" wrapText="1"/>
      <protection/>
    </xf>
    <xf numFmtId="0" fontId="5" fillId="0" borderId="33" xfId="0" applyFont="1" applyFill="1" applyBorder="1" applyAlignment="1" applyProtection="1">
      <alignment horizontal="center" vertical="center"/>
      <protection/>
    </xf>
    <xf numFmtId="49" fontId="1" fillId="0" borderId="26" xfId="0" applyNumberFormat="1" applyFont="1" applyFill="1" applyBorder="1" applyAlignment="1" applyProtection="1">
      <alignment wrapText="1"/>
      <protection/>
    </xf>
    <xf numFmtId="49" fontId="1" fillId="0" borderId="23" xfId="0" applyNumberFormat="1" applyFont="1" applyFill="1" applyBorder="1" applyAlignment="1" applyProtection="1">
      <alignment wrapText="1"/>
      <protection/>
    </xf>
    <xf numFmtId="0" fontId="40" fillId="0" borderId="23" xfId="0" applyFont="1" applyFill="1" applyBorder="1" applyAlignment="1" applyProtection="1">
      <alignment wrapText="1"/>
      <protection/>
    </xf>
    <xf numFmtId="0" fontId="30" fillId="0" borderId="20" xfId="0" applyFont="1" applyFill="1" applyBorder="1" applyAlignment="1" applyProtection="1">
      <alignment horizontal="center"/>
      <protection/>
    </xf>
    <xf numFmtId="0" fontId="0" fillId="0" borderId="0" xfId="0" applyFill="1" applyAlignment="1" applyProtection="1">
      <alignment/>
      <protection locked="0"/>
    </xf>
    <xf numFmtId="49" fontId="0" fillId="0" borderId="0" xfId="0" applyNumberFormat="1" applyFill="1" applyAlignment="1" applyProtection="1">
      <alignment/>
      <protection locked="0"/>
    </xf>
    <xf numFmtId="0" fontId="1" fillId="0" borderId="0" xfId="0" applyFont="1" applyFill="1" applyAlignment="1" applyProtection="1">
      <alignment/>
      <protection/>
    </xf>
    <xf numFmtId="0" fontId="1" fillId="0" borderId="0" xfId="0" applyFont="1" applyFill="1" applyAlignment="1" applyProtection="1">
      <alignment/>
      <protection locked="0"/>
    </xf>
    <xf numFmtId="0" fontId="26" fillId="0" borderId="0" xfId="0" applyFont="1" applyFill="1" applyAlignment="1" applyProtection="1">
      <alignment horizontal="center"/>
      <protection locked="0"/>
    </xf>
    <xf numFmtId="0" fontId="1" fillId="0" borderId="0" xfId="0" applyFont="1" applyFill="1" applyAlignment="1" applyProtection="1">
      <alignment horizontal="center"/>
      <protection locked="0"/>
    </xf>
    <xf numFmtId="49" fontId="1" fillId="0" borderId="0" xfId="0" applyNumberFormat="1" applyFont="1" applyFill="1" applyAlignment="1" applyProtection="1">
      <alignment/>
      <protection locked="0"/>
    </xf>
    <xf numFmtId="0" fontId="3" fillId="0" borderId="0" xfId="0" applyFont="1" applyFill="1" applyAlignment="1" applyProtection="1">
      <alignment/>
      <protection locked="0"/>
    </xf>
    <xf numFmtId="0" fontId="0" fillId="0" borderId="0" xfId="0" applyFont="1" applyFill="1" applyAlignment="1" applyProtection="1">
      <alignment/>
      <protection/>
    </xf>
    <xf numFmtId="0" fontId="18" fillId="0" borderId="0" xfId="0" applyFont="1" applyFill="1" applyBorder="1" applyAlignment="1" applyProtection="1">
      <alignment/>
      <protection/>
    </xf>
    <xf numFmtId="0" fontId="0" fillId="0" borderId="0" xfId="0" applyFill="1" applyBorder="1" applyAlignment="1" applyProtection="1">
      <alignment/>
      <protection/>
    </xf>
    <xf numFmtId="49" fontId="1" fillId="0" borderId="25" xfId="0" applyNumberFormat="1" applyFont="1" applyFill="1" applyBorder="1" applyAlignment="1" applyProtection="1">
      <alignment horizontal="left" wrapText="1"/>
      <protection/>
    </xf>
    <xf numFmtId="0" fontId="40" fillId="0" borderId="25" xfId="0" applyFont="1" applyFill="1" applyBorder="1" applyAlignment="1" applyProtection="1">
      <alignment horizontal="left" wrapText="1"/>
      <protection/>
    </xf>
    <xf numFmtId="0" fontId="1" fillId="0" borderId="22" xfId="0" applyFont="1" applyFill="1" applyBorder="1" applyAlignment="1" applyProtection="1">
      <alignment horizontal="left" vertical="center" wrapText="1"/>
      <protection/>
    </xf>
    <xf numFmtId="49" fontId="1" fillId="0" borderId="22" xfId="0" applyNumberFormat="1" applyFont="1" applyFill="1" applyBorder="1" applyAlignment="1" applyProtection="1">
      <alignment horizontal="left" wrapText="1"/>
      <protection/>
    </xf>
    <xf numFmtId="0" fontId="40" fillId="0" borderId="22" xfId="0" applyFont="1" applyFill="1" applyBorder="1" applyAlignment="1" applyProtection="1">
      <alignment horizontal="left" wrapText="1"/>
      <protection/>
    </xf>
    <xf numFmtId="0" fontId="1" fillId="0" borderId="22" xfId="0" applyFont="1" applyFill="1" applyBorder="1" applyAlignment="1" applyProtection="1">
      <alignment horizontal="left" wrapText="1"/>
      <protection/>
    </xf>
    <xf numFmtId="0" fontId="1" fillId="0" borderId="23" xfId="0" applyFont="1" applyFill="1" applyBorder="1" applyAlignment="1" applyProtection="1">
      <alignment horizontal="left" wrapText="1"/>
      <protection/>
    </xf>
    <xf numFmtId="49" fontId="1" fillId="0" borderId="23" xfId="0" applyNumberFormat="1" applyFont="1" applyFill="1" applyBorder="1" applyAlignment="1" applyProtection="1">
      <alignment horizontal="left"/>
      <protection/>
    </xf>
    <xf numFmtId="49" fontId="1" fillId="0" borderId="25" xfId="0" applyNumberFormat="1" applyFont="1" applyFill="1" applyBorder="1" applyAlignment="1" applyProtection="1">
      <alignment horizontal="left"/>
      <protection/>
    </xf>
    <xf numFmtId="0" fontId="30" fillId="0" borderId="19" xfId="0" applyFont="1" applyFill="1" applyBorder="1" applyAlignment="1" applyProtection="1">
      <alignment horizontal="left"/>
      <protection/>
    </xf>
    <xf numFmtId="0" fontId="84" fillId="0" borderId="17" xfId="0" applyFont="1" applyFill="1" applyBorder="1" applyAlignment="1" applyProtection="1">
      <alignment horizontal="left"/>
      <protection locked="0"/>
    </xf>
    <xf numFmtId="0" fontId="29" fillId="0" borderId="17" xfId="0" applyFont="1" applyFill="1" applyBorder="1" applyAlignment="1" applyProtection="1">
      <alignment horizontal="left"/>
      <protection locked="0"/>
    </xf>
    <xf numFmtId="0" fontId="30" fillId="0" borderId="17" xfId="0" applyFont="1" applyFill="1" applyBorder="1" applyAlignment="1" applyProtection="1">
      <alignment horizontal="left"/>
      <protection/>
    </xf>
    <xf numFmtId="0" fontId="1" fillId="0" borderId="23" xfId="0" applyFont="1" applyFill="1" applyBorder="1" applyAlignment="1" applyProtection="1">
      <alignment horizontal="left" vertical="center" wrapText="1"/>
      <protection/>
    </xf>
    <xf numFmtId="0" fontId="29" fillId="0" borderId="20" xfId="0" applyFont="1" applyFill="1" applyBorder="1" applyAlignment="1" applyProtection="1">
      <alignment horizontal="left"/>
      <protection locked="0"/>
    </xf>
    <xf numFmtId="49" fontId="5" fillId="0" borderId="21" xfId="0" applyNumberFormat="1" applyFont="1" applyFill="1" applyBorder="1" applyAlignment="1" applyProtection="1">
      <alignment wrapText="1"/>
      <protection/>
    </xf>
    <xf numFmtId="0" fontId="5" fillId="0" borderId="21" xfId="0" applyFont="1" applyFill="1" applyBorder="1" applyAlignment="1" applyProtection="1">
      <alignment wrapText="1"/>
      <protection/>
    </xf>
    <xf numFmtId="0" fontId="5" fillId="0" borderId="14" xfId="0" applyFont="1" applyFill="1" applyBorder="1" applyAlignment="1" applyProtection="1">
      <alignment/>
      <protection/>
    </xf>
    <xf numFmtId="0" fontId="29" fillId="0" borderId="19" xfId="0" applyFont="1" applyFill="1" applyBorder="1" applyAlignment="1" applyProtection="1">
      <alignment horizontal="center"/>
      <protection locked="0"/>
    </xf>
    <xf numFmtId="0" fontId="29" fillId="0" borderId="14" xfId="0" applyFont="1" applyFill="1" applyBorder="1" applyAlignment="1" applyProtection="1">
      <alignment horizontal="center"/>
      <protection locked="0"/>
    </xf>
    <xf numFmtId="0" fontId="1" fillId="0" borderId="25" xfId="0" applyFont="1" applyFill="1" applyBorder="1" applyAlignment="1" applyProtection="1">
      <alignment/>
      <protection/>
    </xf>
    <xf numFmtId="49" fontId="1" fillId="0" borderId="25" xfId="0" applyNumberFormat="1" applyFont="1" applyFill="1" applyBorder="1" applyAlignment="1" applyProtection="1">
      <alignment horizontal="center"/>
      <protection/>
    </xf>
    <xf numFmtId="0" fontId="40" fillId="0" borderId="25" xfId="0" applyFont="1" applyFill="1" applyBorder="1" applyAlignment="1" applyProtection="1">
      <alignment/>
      <protection/>
    </xf>
    <xf numFmtId="0" fontId="40" fillId="0" borderId="22" xfId="0" applyFont="1" applyFill="1" applyBorder="1" applyAlignment="1" applyProtection="1">
      <alignment/>
      <protection/>
    </xf>
    <xf numFmtId="0" fontId="1" fillId="0" borderId="23" xfId="0" applyFont="1" applyFill="1" applyBorder="1" applyAlignment="1" applyProtection="1">
      <alignment/>
      <protection/>
    </xf>
    <xf numFmtId="0" fontId="1" fillId="0" borderId="22" xfId="0" applyFont="1" applyFill="1" applyBorder="1" applyAlignment="1" applyProtection="1">
      <alignment horizontal="left" vertical="top" wrapText="1"/>
      <protection/>
    </xf>
    <xf numFmtId="0" fontId="1" fillId="0" borderId="22" xfId="0" applyFont="1" applyFill="1" applyBorder="1" applyAlignment="1" applyProtection="1">
      <alignment vertical="top" wrapText="1"/>
      <protection/>
    </xf>
    <xf numFmtId="49" fontId="1" fillId="0" borderId="26" xfId="0" applyNumberFormat="1" applyFont="1" applyFill="1" applyBorder="1" applyAlignment="1" applyProtection="1">
      <alignment horizontal="center"/>
      <protection/>
    </xf>
    <xf numFmtId="49" fontId="1" fillId="0" borderId="21" xfId="0" applyNumberFormat="1" applyFont="1" applyFill="1" applyBorder="1" applyAlignment="1" applyProtection="1">
      <alignment/>
      <protection/>
    </xf>
    <xf numFmtId="0" fontId="40" fillId="0" borderId="21" xfId="0" applyFont="1" applyFill="1" applyBorder="1" applyAlignment="1" applyProtection="1">
      <alignment wrapText="1"/>
      <protection/>
    </xf>
    <xf numFmtId="49" fontId="1" fillId="0" borderId="24" xfId="0" applyNumberFormat="1" applyFont="1" applyFill="1" applyBorder="1" applyAlignment="1" applyProtection="1">
      <alignment/>
      <protection/>
    </xf>
    <xf numFmtId="49" fontId="1" fillId="0" borderId="23" xfId="0" applyNumberFormat="1" applyFont="1" applyFill="1" applyBorder="1" applyAlignment="1" applyProtection="1">
      <alignment/>
      <protection/>
    </xf>
    <xf numFmtId="0" fontId="30" fillId="0" borderId="33" xfId="0" applyFont="1" applyFill="1" applyBorder="1" applyAlignment="1" applyProtection="1">
      <alignment horizontal="center"/>
      <protection/>
    </xf>
    <xf numFmtId="0" fontId="0" fillId="0" borderId="0" xfId="0" applyFont="1" applyFill="1" applyAlignment="1">
      <alignment/>
    </xf>
    <xf numFmtId="0" fontId="0" fillId="0" borderId="0" xfId="0" applyFill="1" applyBorder="1" applyAlignment="1" applyProtection="1">
      <alignment/>
      <protection/>
    </xf>
    <xf numFmtId="0" fontId="1" fillId="0" borderId="0" xfId="0" applyFont="1" applyFill="1" applyAlignment="1" applyProtection="1">
      <alignment horizontal="left"/>
      <protection/>
    </xf>
    <xf numFmtId="0" fontId="1" fillId="0" borderId="26" xfId="0" applyFont="1" applyFill="1" applyBorder="1" applyAlignment="1" applyProtection="1">
      <alignment/>
      <protection/>
    </xf>
    <xf numFmtId="0" fontId="1" fillId="0" borderId="25" xfId="0" applyFont="1" applyFill="1" applyBorder="1" applyAlignment="1" applyProtection="1">
      <alignment vertical="center" wrapText="1"/>
      <protection/>
    </xf>
    <xf numFmtId="0" fontId="0" fillId="0" borderId="0" xfId="0" applyFont="1" applyFill="1" applyAlignment="1" applyProtection="1">
      <alignment horizontal="center"/>
      <protection/>
    </xf>
    <xf numFmtId="0" fontId="85" fillId="0" borderId="31" xfId="0" applyFont="1" applyFill="1" applyBorder="1" applyAlignment="1" applyProtection="1">
      <alignment horizontal="center"/>
      <protection/>
    </xf>
    <xf numFmtId="49" fontId="3" fillId="0" borderId="28" xfId="0" applyNumberFormat="1" applyFont="1" applyFill="1" applyBorder="1" applyAlignment="1" applyProtection="1">
      <alignment horizontal="center" vertical="center" wrapText="1"/>
      <protection/>
    </xf>
    <xf numFmtId="0" fontId="33" fillId="0" borderId="0" xfId="0" applyFont="1" applyFill="1" applyAlignment="1" applyProtection="1">
      <alignment/>
      <protection/>
    </xf>
    <xf numFmtId="49" fontId="8" fillId="0" borderId="38" xfId="0" applyNumberFormat="1" applyFont="1" applyBorder="1" applyAlignment="1">
      <alignment horizontal="right" vertical="top"/>
    </xf>
    <xf numFmtId="0" fontId="12" fillId="0" borderId="27" xfId="0" applyFont="1" applyBorder="1" applyAlignment="1">
      <alignment wrapText="1"/>
    </xf>
    <xf numFmtId="0" fontId="32" fillId="0" borderId="0" xfId="0" applyFont="1" applyFill="1" applyAlignment="1">
      <alignment horizontal="left" vertical="center" wrapText="1"/>
    </xf>
    <xf numFmtId="0" fontId="37" fillId="0" borderId="0" xfId="0" applyFont="1" applyFill="1" applyAlignment="1">
      <alignment/>
    </xf>
    <xf numFmtId="0" fontId="84" fillId="0" borderId="19" xfId="0" applyFont="1" applyFill="1" applyBorder="1" applyAlignment="1" applyProtection="1">
      <alignment horizontal="center"/>
      <protection locked="0"/>
    </xf>
    <xf numFmtId="0" fontId="12" fillId="0" borderId="17" xfId="0" applyFont="1" applyFill="1" applyBorder="1" applyAlignment="1">
      <alignment wrapText="1"/>
    </xf>
    <xf numFmtId="49" fontId="1" fillId="0" borderId="25" xfId="0" applyNumberFormat="1" applyFont="1" applyFill="1" applyBorder="1" applyAlignment="1">
      <alignment vertical="center" wrapText="1"/>
    </xf>
    <xf numFmtId="0" fontId="1" fillId="0" borderId="25" xfId="0" applyFont="1" applyFill="1" applyBorder="1" applyAlignment="1">
      <alignment wrapText="1"/>
    </xf>
    <xf numFmtId="0" fontId="85" fillId="0" borderId="19" xfId="0" applyFont="1" applyFill="1" applyBorder="1" applyAlignment="1">
      <alignment horizontal="center"/>
    </xf>
    <xf numFmtId="49" fontId="1" fillId="0" borderId="22" xfId="0" applyNumberFormat="1" applyFont="1" applyFill="1" applyBorder="1" applyAlignment="1">
      <alignment/>
    </xf>
    <xf numFmtId="49" fontId="1" fillId="0" borderId="22" xfId="0" applyNumberFormat="1" applyFont="1" applyFill="1" applyBorder="1" applyAlignment="1">
      <alignment vertical="center" wrapText="1"/>
    </xf>
    <xf numFmtId="0" fontId="7" fillId="0" borderId="0" xfId="0" applyFont="1" applyAlignment="1">
      <alignment horizontal="center" vertical="center" wrapText="1"/>
    </xf>
    <xf numFmtId="0" fontId="7" fillId="0" borderId="0" xfId="0" applyFont="1" applyFill="1" applyAlignment="1">
      <alignment horizontal="center" vertical="center" wrapText="1"/>
    </xf>
    <xf numFmtId="0" fontId="8" fillId="0" borderId="10" xfId="0" applyFont="1" applyBorder="1" applyAlignment="1">
      <alignment/>
    </xf>
    <xf numFmtId="0" fontId="0" fillId="0" borderId="10" xfId="0" applyBorder="1" applyAlignment="1">
      <alignment/>
    </xf>
    <xf numFmtId="0" fontId="18" fillId="0" borderId="11" xfId="0" applyFont="1" applyFill="1" applyBorder="1" applyAlignment="1" applyProtection="1">
      <alignment horizontal="left"/>
      <protection locked="0"/>
    </xf>
    <xf numFmtId="0" fontId="0" fillId="0" borderId="11" xfId="0" applyFont="1" applyBorder="1" applyAlignment="1">
      <alignment/>
    </xf>
    <xf numFmtId="0" fontId="8" fillId="0" borderId="11" xfId="0" applyFont="1" applyBorder="1" applyAlignment="1">
      <alignment/>
    </xf>
    <xf numFmtId="0" fontId="0" fillId="0" borderId="11" xfId="0" applyBorder="1" applyAlignment="1">
      <alignment/>
    </xf>
    <xf numFmtId="0" fontId="4" fillId="0" borderId="0" xfId="0" applyFont="1" applyAlignment="1">
      <alignment horizontal="center"/>
    </xf>
    <xf numFmtId="0" fontId="0" fillId="0" borderId="0" xfId="0" applyAlignment="1">
      <alignment/>
    </xf>
    <xf numFmtId="14" fontId="1" fillId="0" borderId="0" xfId="0" applyNumberFormat="1" applyFont="1" applyBorder="1" applyAlignment="1" applyProtection="1">
      <alignment horizontal="right"/>
      <protection locked="0"/>
    </xf>
    <xf numFmtId="0" fontId="0" fillId="0" borderId="0" xfId="0" applyAlignment="1">
      <alignment horizontal="right"/>
    </xf>
    <xf numFmtId="0" fontId="3" fillId="0" borderId="0" xfId="0" applyFont="1" applyAlignment="1">
      <alignment horizontal="left"/>
    </xf>
    <xf numFmtId="0" fontId="4" fillId="0" borderId="0" xfId="0" applyFont="1" applyBorder="1" applyAlignment="1">
      <alignment horizontal="center"/>
    </xf>
    <xf numFmtId="0" fontId="11" fillId="0" borderId="0" xfId="0" applyFont="1" applyFill="1" applyBorder="1" applyAlignment="1" applyProtection="1">
      <alignment horizontal="left"/>
      <protection locked="0"/>
    </xf>
    <xf numFmtId="0" fontId="8" fillId="0" borderId="11" xfId="0" applyFont="1" applyFill="1" applyBorder="1" applyAlignment="1" applyProtection="1">
      <alignment horizontal="left"/>
      <protection locked="0"/>
    </xf>
    <xf numFmtId="0" fontId="15" fillId="0" borderId="11" xfId="0" applyFont="1" applyBorder="1" applyAlignment="1">
      <alignment horizontal="left"/>
    </xf>
    <xf numFmtId="0" fontId="8" fillId="0" borderId="0" xfId="0" applyFont="1" applyBorder="1" applyAlignment="1">
      <alignment/>
    </xf>
    <xf numFmtId="0" fontId="0" fillId="0" borderId="0" xfId="0" applyBorder="1" applyAlignment="1">
      <alignment/>
    </xf>
    <xf numFmtId="0" fontId="21" fillId="0" borderId="39" xfId="0" applyFont="1" applyBorder="1" applyAlignment="1">
      <alignment horizontal="center" vertical="center"/>
    </xf>
    <xf numFmtId="0" fontId="1" fillId="0" borderId="16" xfId="0" applyFont="1" applyBorder="1" applyAlignment="1" applyProtection="1">
      <alignment vertical="center" wrapText="1"/>
      <protection/>
    </xf>
    <xf numFmtId="0" fontId="1" fillId="0" borderId="18" xfId="0" applyFont="1" applyBorder="1" applyAlignment="1" applyProtection="1">
      <alignment vertical="center" wrapText="1"/>
      <protection/>
    </xf>
    <xf numFmtId="0" fontId="3" fillId="0" borderId="22" xfId="0" applyFont="1" applyBorder="1" applyAlignment="1" applyProtection="1">
      <alignment vertical="center" wrapText="1"/>
      <protection/>
    </xf>
    <xf numFmtId="0" fontId="1" fillId="0" borderId="22" xfId="0" applyFont="1" applyBorder="1" applyAlignment="1" applyProtection="1">
      <alignment vertical="center" wrapText="1"/>
      <protection/>
    </xf>
    <xf numFmtId="0" fontId="1" fillId="0" borderId="35" xfId="0" applyFont="1" applyBorder="1" applyAlignment="1" applyProtection="1">
      <alignment wrapText="1"/>
      <protection/>
    </xf>
    <xf numFmtId="0" fontId="0" fillId="0" borderId="11" xfId="0" applyBorder="1" applyAlignment="1" applyProtection="1">
      <alignment wrapText="1"/>
      <protection/>
    </xf>
    <xf numFmtId="0" fontId="0" fillId="0" borderId="36" xfId="0" applyBorder="1" applyAlignment="1" applyProtection="1">
      <alignment wrapText="1"/>
      <protection/>
    </xf>
    <xf numFmtId="0" fontId="1" fillId="0" borderId="40" xfId="0" applyFont="1" applyBorder="1" applyAlignment="1" applyProtection="1">
      <alignment wrapText="1"/>
      <protection/>
    </xf>
    <xf numFmtId="0" fontId="0" fillId="0" borderId="41" xfId="0" applyBorder="1" applyAlignment="1" applyProtection="1">
      <alignment wrapText="1"/>
      <protection/>
    </xf>
    <xf numFmtId="0" fontId="0" fillId="0" borderId="42" xfId="0" applyBorder="1" applyAlignment="1" applyProtection="1">
      <alignment wrapText="1"/>
      <protection/>
    </xf>
    <xf numFmtId="0" fontId="1" fillId="0" borderId="38" xfId="0" applyFont="1" applyBorder="1" applyAlignment="1" applyProtection="1">
      <alignment vertical="center" wrapText="1"/>
      <protection/>
    </xf>
    <xf numFmtId="0" fontId="1" fillId="0" borderId="43" xfId="0" applyFont="1" applyBorder="1" applyAlignment="1" applyProtection="1">
      <alignment vertical="center" wrapText="1"/>
      <protection/>
    </xf>
    <xf numFmtId="0" fontId="0" fillId="0" borderId="43" xfId="0" applyBorder="1" applyAlignment="1" applyProtection="1">
      <alignment vertical="center" wrapText="1"/>
      <protection/>
    </xf>
    <xf numFmtId="0" fontId="0" fillId="0" borderId="44" xfId="0" applyBorder="1" applyAlignment="1" applyProtection="1">
      <alignment vertical="center" wrapText="1"/>
      <protection/>
    </xf>
    <xf numFmtId="0" fontId="1" fillId="0" borderId="35" xfId="0" applyFont="1" applyFill="1" applyBorder="1" applyAlignment="1" applyProtection="1">
      <alignment wrapText="1"/>
      <protection/>
    </xf>
    <xf numFmtId="0" fontId="0" fillId="0" borderId="36" xfId="0" applyFill="1" applyBorder="1" applyAlignment="1" applyProtection="1">
      <alignment wrapText="1"/>
      <protection/>
    </xf>
    <xf numFmtId="0" fontId="1" fillId="0" borderId="26" xfId="0" applyFont="1" applyBorder="1" applyAlignment="1" applyProtection="1">
      <alignment vertical="center" wrapText="1"/>
      <protection/>
    </xf>
    <xf numFmtId="0" fontId="1" fillId="0" borderId="29" xfId="0" applyFont="1" applyBorder="1" applyAlignment="1" applyProtection="1">
      <alignment vertical="center" wrapText="1"/>
      <protection/>
    </xf>
    <xf numFmtId="0" fontId="1" fillId="0" borderId="24" xfId="0" applyFont="1" applyBorder="1" applyAlignment="1" applyProtection="1">
      <alignment vertical="center" wrapText="1"/>
      <protection/>
    </xf>
    <xf numFmtId="0" fontId="3" fillId="0" borderId="22" xfId="0" applyFont="1" applyBorder="1" applyAlignment="1" applyProtection="1">
      <alignment wrapText="1"/>
      <protection/>
    </xf>
    <xf numFmtId="0" fontId="3" fillId="0" borderId="16" xfId="0" applyFont="1" applyBorder="1" applyAlignment="1" applyProtection="1">
      <alignment vertical="center" wrapText="1"/>
      <protection/>
    </xf>
    <xf numFmtId="0" fontId="23" fillId="0" borderId="16" xfId="0" applyFont="1" applyBorder="1" applyAlignment="1" applyProtection="1">
      <alignment vertical="center" wrapText="1"/>
      <protection/>
    </xf>
    <xf numFmtId="0" fontId="0" fillId="0" borderId="11" xfId="0" applyFill="1" applyBorder="1" applyAlignment="1" applyProtection="1">
      <alignment wrapText="1"/>
      <protection/>
    </xf>
    <xf numFmtId="0" fontId="4" fillId="0" borderId="0" xfId="0" applyFont="1" applyAlignment="1" applyProtection="1">
      <alignment horizontal="justify" wrapText="1"/>
      <protection/>
    </xf>
    <xf numFmtId="0" fontId="25" fillId="0" borderId="0" xfId="0" applyFont="1" applyAlignment="1" applyProtection="1">
      <alignment wrapText="1"/>
      <protection/>
    </xf>
    <xf numFmtId="0" fontId="18" fillId="0" borderId="0" xfId="0" applyFont="1" applyAlignment="1" applyProtection="1">
      <alignment horizontal="justify" wrapText="1"/>
      <protection/>
    </xf>
    <xf numFmtId="0" fontId="18" fillId="0" borderId="0" xfId="0" applyFont="1" applyAlignment="1" applyProtection="1">
      <alignment wrapText="1"/>
      <protection/>
    </xf>
    <xf numFmtId="0" fontId="5" fillId="0" borderId="13" xfId="0" applyFont="1" applyBorder="1" applyAlignment="1" applyProtection="1">
      <alignment horizontal="center" vertical="center" wrapText="1"/>
      <protection/>
    </xf>
    <xf numFmtId="0" fontId="5" fillId="0" borderId="45"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1" fillId="0" borderId="15" xfId="0" applyFont="1" applyBorder="1" applyAlignment="1" applyProtection="1">
      <alignment wrapText="1"/>
      <protection/>
    </xf>
    <xf numFmtId="0" fontId="0" fillId="0" borderId="16" xfId="0" applyFont="1" applyBorder="1" applyAlignment="1" applyProtection="1">
      <alignment wrapText="1"/>
      <protection/>
    </xf>
    <xf numFmtId="0" fontId="1" fillId="0" borderId="46" xfId="0" applyFont="1" applyBorder="1" applyAlignment="1" applyProtection="1">
      <alignment wrapText="1"/>
      <protection/>
    </xf>
    <xf numFmtId="0" fontId="0" fillId="0" borderId="47" xfId="0" applyBorder="1" applyAlignment="1" applyProtection="1">
      <alignment wrapText="1"/>
      <protection/>
    </xf>
    <xf numFmtId="0" fontId="0" fillId="0" borderId="48" xfId="0" applyBorder="1" applyAlignment="1" applyProtection="1">
      <alignment wrapText="1"/>
      <protection/>
    </xf>
    <xf numFmtId="0" fontId="1" fillId="0" borderId="35" xfId="0" applyFont="1" applyFill="1" applyBorder="1" applyAlignment="1" applyProtection="1">
      <alignment vertical="center" wrapText="1"/>
      <protection/>
    </xf>
    <xf numFmtId="0" fontId="18" fillId="0" borderId="0" xfId="0" applyFont="1" applyBorder="1" applyAlignment="1">
      <alignment horizontal="justify" wrapText="1"/>
    </xf>
    <xf numFmtId="0" fontId="3" fillId="0" borderId="0" xfId="0" applyFont="1" applyBorder="1" applyAlignment="1">
      <alignment wrapText="1"/>
    </xf>
    <xf numFmtId="0" fontId="5" fillId="0" borderId="13" xfId="0" applyFont="1" applyBorder="1" applyAlignment="1">
      <alignment horizontal="center" vertical="center" wrapText="1"/>
    </xf>
    <xf numFmtId="0" fontId="5" fillId="0" borderId="21" xfId="0" applyFont="1" applyBorder="1" applyAlignment="1">
      <alignment horizontal="center" vertical="center" wrapText="1"/>
    </xf>
    <xf numFmtId="0" fontId="0" fillId="0" borderId="21" xfId="0" applyBorder="1" applyAlignment="1">
      <alignment wrapText="1"/>
    </xf>
    <xf numFmtId="0" fontId="1" fillId="0" borderId="15" xfId="0" applyFont="1" applyBorder="1" applyAlignment="1">
      <alignment wrapText="1"/>
    </xf>
    <xf numFmtId="0" fontId="1" fillId="0" borderId="25" xfId="0" applyFont="1" applyBorder="1" applyAlignment="1">
      <alignment wrapText="1"/>
    </xf>
    <xf numFmtId="0" fontId="0" fillId="0" borderId="25" xfId="0" applyFont="1" applyBorder="1" applyAlignment="1">
      <alignment wrapText="1"/>
    </xf>
    <xf numFmtId="0" fontId="1" fillId="0" borderId="22" xfId="0" applyFont="1" applyBorder="1" applyAlignment="1">
      <alignment wrapText="1"/>
    </xf>
    <xf numFmtId="0" fontId="0" fillId="0" borderId="22" xfId="0" applyFont="1" applyBorder="1" applyAlignment="1">
      <alignment wrapText="1"/>
    </xf>
    <xf numFmtId="0" fontId="1" fillId="0" borderId="16" xfId="0" applyFont="1" applyBorder="1" applyAlignment="1">
      <alignment vertical="center" wrapText="1"/>
    </xf>
    <xf numFmtId="0" fontId="0" fillId="0" borderId="16" xfId="0" applyFont="1" applyBorder="1" applyAlignment="1">
      <alignment vertical="center"/>
    </xf>
    <xf numFmtId="0" fontId="1" fillId="0" borderId="22" xfId="0" applyFont="1" applyBorder="1" applyAlignment="1">
      <alignment vertical="center" wrapText="1"/>
    </xf>
    <xf numFmtId="0" fontId="0" fillId="0" borderId="22" xfId="0" applyFont="1" applyBorder="1" applyAlignment="1">
      <alignment vertical="center" wrapText="1"/>
    </xf>
    <xf numFmtId="0" fontId="1" fillId="0" borderId="22" xfId="0" applyFont="1" applyBorder="1" applyAlignment="1">
      <alignment/>
    </xf>
    <xf numFmtId="0" fontId="0" fillId="0" borderId="23" xfId="0" applyFont="1" applyBorder="1" applyAlignment="1">
      <alignment vertical="center" wrapText="1"/>
    </xf>
    <xf numFmtId="0" fontId="1" fillId="0" borderId="16" xfId="0" applyFont="1" applyBorder="1" applyAlignment="1">
      <alignment/>
    </xf>
    <xf numFmtId="0" fontId="0" fillId="0" borderId="22" xfId="0" applyFont="1" applyBorder="1" applyAlignment="1">
      <alignment/>
    </xf>
    <xf numFmtId="0" fontId="0" fillId="0" borderId="18" xfId="0" applyFont="1" applyBorder="1" applyAlignment="1">
      <alignment vertical="center" wrapText="1"/>
    </xf>
    <xf numFmtId="0" fontId="1" fillId="0" borderId="23" xfId="0" applyFont="1" applyBorder="1" applyAlignment="1">
      <alignment wrapText="1"/>
    </xf>
    <xf numFmtId="0" fontId="0" fillId="0" borderId="23" xfId="0" applyFont="1" applyBorder="1" applyAlignment="1">
      <alignment wrapText="1"/>
    </xf>
    <xf numFmtId="0" fontId="1" fillId="0" borderId="22" xfId="0" applyFont="1" applyBorder="1" applyAlignment="1">
      <alignment vertical="center"/>
    </xf>
    <xf numFmtId="0" fontId="0" fillId="0" borderId="22" xfId="0" applyFont="1" applyBorder="1" applyAlignment="1">
      <alignment vertical="center"/>
    </xf>
    <xf numFmtId="0" fontId="1" fillId="0" borderId="16" xfId="0" applyFont="1" applyBorder="1" applyAlignment="1">
      <alignment wrapText="1"/>
    </xf>
    <xf numFmtId="0" fontId="1" fillId="0" borderId="16" xfId="0" applyFont="1" applyBorder="1" applyAlignment="1">
      <alignment vertical="center"/>
    </xf>
    <xf numFmtId="0" fontId="0" fillId="0" borderId="16" xfId="0" applyFont="1" applyBorder="1" applyAlignment="1">
      <alignment wrapText="1"/>
    </xf>
    <xf numFmtId="0" fontId="18" fillId="0" borderId="39" xfId="0" applyFont="1" applyBorder="1" applyAlignment="1">
      <alignment horizontal="justify" wrapText="1"/>
    </xf>
    <xf numFmtId="0" fontId="23" fillId="0" borderId="39" xfId="0" applyFont="1" applyBorder="1" applyAlignment="1">
      <alignment wrapText="1"/>
    </xf>
    <xf numFmtId="0" fontId="1" fillId="0" borderId="22" xfId="0" applyFont="1" applyFill="1" applyBorder="1" applyAlignment="1">
      <alignment vertical="center" wrapText="1"/>
    </xf>
    <xf numFmtId="0" fontId="1" fillId="0" borderId="22" xfId="0" applyFont="1" applyFill="1" applyBorder="1" applyAlignment="1">
      <alignment/>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0" fillId="0" borderId="45" xfId="0" applyBorder="1" applyAlignment="1">
      <alignment/>
    </xf>
    <xf numFmtId="0" fontId="1" fillId="0" borderId="15" xfId="0" applyFont="1" applyBorder="1" applyAlignment="1">
      <alignment vertical="center" wrapText="1"/>
    </xf>
    <xf numFmtId="0" fontId="0" fillId="0" borderId="16" xfId="0" applyFont="1" applyBorder="1" applyAlignment="1">
      <alignment vertical="center" wrapText="1"/>
    </xf>
    <xf numFmtId="0" fontId="1" fillId="0" borderId="46" xfId="0" applyFont="1" applyFill="1" applyBorder="1" applyAlignment="1">
      <alignment horizontal="left" vertical="center" wrapText="1"/>
    </xf>
    <xf numFmtId="0" fontId="1" fillId="0" borderId="47" xfId="0" applyFont="1" applyFill="1" applyBorder="1" applyAlignment="1">
      <alignment horizontal="left" vertical="center" wrapText="1"/>
    </xf>
    <xf numFmtId="0" fontId="0" fillId="0" borderId="48" xfId="0" applyFont="1" applyFill="1" applyBorder="1" applyAlignment="1">
      <alignment horizontal="left"/>
    </xf>
    <xf numFmtId="0" fontId="1" fillId="0" borderId="35" xfId="0" applyFont="1" applyFill="1" applyBorder="1" applyAlignment="1">
      <alignment wrapText="1"/>
    </xf>
    <xf numFmtId="0" fontId="1" fillId="0" borderId="36" xfId="0" applyFont="1" applyFill="1" applyBorder="1" applyAlignment="1">
      <alignment wrapText="1"/>
    </xf>
    <xf numFmtId="0" fontId="1" fillId="0" borderId="35"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0" fillId="0" borderId="36" xfId="0" applyFont="1" applyFill="1" applyBorder="1" applyAlignment="1">
      <alignment horizontal="left"/>
    </xf>
    <xf numFmtId="0" fontId="1" fillId="0" borderId="40" xfId="0" applyFont="1" applyBorder="1" applyAlignment="1">
      <alignment wrapText="1"/>
    </xf>
    <xf numFmtId="0" fontId="1" fillId="0" borderId="41" xfId="0" applyFont="1" applyBorder="1" applyAlignment="1">
      <alignment wrapText="1"/>
    </xf>
    <xf numFmtId="0" fontId="0" fillId="0" borderId="42" xfId="0" applyFont="1" applyBorder="1" applyAlignment="1">
      <alignment/>
    </xf>
    <xf numFmtId="0" fontId="1" fillId="0" borderId="35" xfId="0" applyFont="1" applyBorder="1" applyAlignment="1">
      <alignment wrapText="1"/>
    </xf>
    <xf numFmtId="0" fontId="1" fillId="0" borderId="11" xfId="0" applyFont="1" applyBorder="1" applyAlignment="1">
      <alignment/>
    </xf>
    <xf numFmtId="0" fontId="0" fillId="0" borderId="36" xfId="0" applyFont="1" applyBorder="1" applyAlignment="1">
      <alignment/>
    </xf>
    <xf numFmtId="0" fontId="1" fillId="0" borderId="36" xfId="0" applyFont="1" applyBorder="1" applyAlignment="1">
      <alignment wrapText="1"/>
    </xf>
    <xf numFmtId="0" fontId="1" fillId="0" borderId="11" xfId="0" applyFont="1" applyFill="1" applyBorder="1" applyAlignment="1">
      <alignment/>
    </xf>
    <xf numFmtId="0" fontId="0" fillId="0" borderId="36" xfId="0" applyFont="1" applyFill="1" applyBorder="1" applyAlignment="1">
      <alignment/>
    </xf>
    <xf numFmtId="0" fontId="1" fillId="0" borderId="11" xfId="0" applyFont="1" applyBorder="1" applyAlignment="1">
      <alignment wrapText="1"/>
    </xf>
    <xf numFmtId="0" fontId="1" fillId="0" borderId="35" xfId="0" applyFont="1" applyBorder="1" applyAlignment="1">
      <alignment horizontal="left" vertical="center" wrapText="1"/>
    </xf>
    <xf numFmtId="0" fontId="1" fillId="0" borderId="11" xfId="0" applyFont="1" applyBorder="1" applyAlignment="1">
      <alignment horizontal="left" vertical="center" wrapText="1"/>
    </xf>
    <xf numFmtId="0" fontId="0" fillId="0" borderId="36" xfId="0" applyFont="1" applyBorder="1" applyAlignment="1">
      <alignment horizontal="left"/>
    </xf>
    <xf numFmtId="0" fontId="18" fillId="0" borderId="0" xfId="0" applyFont="1" applyAlignment="1">
      <alignment horizontal="justify" wrapText="1"/>
    </xf>
    <xf numFmtId="0" fontId="23" fillId="0" borderId="0" xfId="0" applyFont="1" applyAlignment="1">
      <alignment wrapText="1"/>
    </xf>
    <xf numFmtId="0" fontId="8" fillId="0" borderId="45" xfId="0" applyFont="1" applyBorder="1" applyAlignment="1">
      <alignment/>
    </xf>
    <xf numFmtId="0" fontId="1" fillId="0" borderId="36" xfId="0" applyFont="1" applyFill="1" applyBorder="1" applyAlignment="1">
      <alignment vertical="center" wrapText="1"/>
    </xf>
    <xf numFmtId="0" fontId="1" fillId="0" borderId="38" xfId="0" applyFont="1" applyBorder="1" applyAlignment="1">
      <alignment vertical="center" wrapText="1"/>
    </xf>
    <xf numFmtId="0" fontId="1" fillId="0" borderId="18" xfId="0" applyFont="1" applyBorder="1" applyAlignment="1">
      <alignment vertical="center" wrapText="1"/>
    </xf>
    <xf numFmtId="0" fontId="1" fillId="0" borderId="46" xfId="0" applyFont="1" applyBorder="1" applyAlignment="1">
      <alignment/>
    </xf>
    <xf numFmtId="0" fontId="1" fillId="0" borderId="47" xfId="0" applyFont="1" applyBorder="1" applyAlignment="1">
      <alignment/>
    </xf>
    <xf numFmtId="0" fontId="1" fillId="0" borderId="48" xfId="0" applyFont="1" applyBorder="1" applyAlignment="1">
      <alignment/>
    </xf>
    <xf numFmtId="0" fontId="1" fillId="0" borderId="40" xfId="0" applyFont="1" applyBorder="1" applyAlignment="1">
      <alignment/>
    </xf>
    <xf numFmtId="0" fontId="1" fillId="0" borderId="41" xfId="0" applyFont="1" applyBorder="1" applyAlignment="1">
      <alignment/>
    </xf>
    <xf numFmtId="0" fontId="1" fillId="0" borderId="42" xfId="0" applyFont="1" applyBorder="1" applyAlignment="1">
      <alignment/>
    </xf>
    <xf numFmtId="0" fontId="1" fillId="0" borderId="12" xfId="0" applyFont="1" applyFill="1" applyBorder="1" applyAlignment="1">
      <alignment vertical="center" wrapText="1"/>
    </xf>
    <xf numFmtId="0" fontId="0" fillId="0" borderId="0" xfId="0" applyFont="1" applyFill="1" applyAlignment="1">
      <alignment vertical="center" wrapText="1"/>
    </xf>
    <xf numFmtId="0" fontId="0" fillId="0" borderId="10" xfId="0" applyFont="1" applyFill="1" applyBorder="1" applyAlignment="1">
      <alignment vertical="center" wrapText="1"/>
    </xf>
    <xf numFmtId="0" fontId="0" fillId="0" borderId="22" xfId="0" applyBorder="1" applyAlignment="1">
      <alignment vertical="center" wrapText="1"/>
    </xf>
    <xf numFmtId="0" fontId="18" fillId="0" borderId="0" xfId="0" applyFont="1" applyFill="1" applyAlignment="1" applyProtection="1">
      <alignment horizontal="justify" wrapText="1"/>
      <protection/>
    </xf>
    <xf numFmtId="0" fontId="23" fillId="0" borderId="0" xfId="0" applyFont="1" applyFill="1" applyAlignment="1" applyProtection="1">
      <alignment wrapText="1"/>
      <protection/>
    </xf>
    <xf numFmtId="0" fontId="5" fillId="0" borderId="51" xfId="0" applyFont="1" applyFill="1" applyBorder="1" applyAlignment="1" applyProtection="1">
      <alignment horizontal="center" vertical="center" wrapText="1"/>
      <protection/>
    </xf>
    <xf numFmtId="0" fontId="5" fillId="0" borderId="52" xfId="0" applyFont="1" applyFill="1" applyBorder="1" applyAlignment="1" applyProtection="1">
      <alignment horizontal="center" vertical="center" wrapText="1"/>
      <protection/>
    </xf>
    <xf numFmtId="0" fontId="8" fillId="0" borderId="53" xfId="0" applyFont="1" applyFill="1" applyBorder="1" applyAlignment="1" applyProtection="1">
      <alignment/>
      <protection/>
    </xf>
    <xf numFmtId="0" fontId="1" fillId="0" borderId="15" xfId="0" applyFont="1" applyFill="1" applyBorder="1" applyAlignment="1" applyProtection="1">
      <alignment vertical="center" wrapText="1"/>
      <protection/>
    </xf>
    <xf numFmtId="0" fontId="1" fillId="0" borderId="16" xfId="0" applyFont="1" applyFill="1" applyBorder="1" applyAlignment="1" applyProtection="1">
      <alignment vertical="center" wrapText="1"/>
      <protection/>
    </xf>
    <xf numFmtId="0" fontId="1" fillId="0" borderId="25" xfId="0" applyFont="1" applyFill="1" applyBorder="1" applyAlignment="1" applyProtection="1">
      <alignment/>
      <protection/>
    </xf>
    <xf numFmtId="0" fontId="1" fillId="0" borderId="36" xfId="0" applyFont="1" applyFill="1" applyBorder="1" applyAlignment="1" applyProtection="1">
      <alignment vertical="center" wrapText="1"/>
      <protection/>
    </xf>
    <xf numFmtId="0" fontId="1" fillId="0" borderId="22" xfId="0" applyFont="1" applyFill="1" applyBorder="1" applyAlignment="1" applyProtection="1">
      <alignment/>
      <protection/>
    </xf>
    <xf numFmtId="0" fontId="1" fillId="0" borderId="26" xfId="0" applyFont="1" applyFill="1" applyBorder="1" applyAlignment="1" applyProtection="1">
      <alignment vertical="center" wrapText="1"/>
      <protection/>
    </xf>
    <xf numFmtId="0" fontId="1" fillId="0" borderId="29" xfId="0" applyFont="1" applyFill="1" applyBorder="1" applyAlignment="1" applyProtection="1">
      <alignment vertical="center" wrapText="1"/>
      <protection/>
    </xf>
    <xf numFmtId="0" fontId="0" fillId="0" borderId="29" xfId="0" applyFill="1" applyBorder="1" applyAlignment="1" applyProtection="1">
      <alignment vertical="center" wrapText="1"/>
      <protection/>
    </xf>
    <xf numFmtId="0" fontId="0" fillId="0" borderId="24" xfId="0" applyFill="1" applyBorder="1" applyAlignment="1" applyProtection="1">
      <alignment vertical="center" wrapText="1"/>
      <protection/>
    </xf>
    <xf numFmtId="0" fontId="1" fillId="0" borderId="12" xfId="0" applyFont="1" applyFill="1" applyBorder="1" applyAlignment="1" applyProtection="1">
      <alignment vertical="center" wrapText="1"/>
      <protection/>
    </xf>
    <xf numFmtId="0" fontId="0" fillId="0" borderId="0" xfId="0" applyFont="1" applyFill="1" applyAlignment="1" applyProtection="1">
      <alignment vertical="center" wrapText="1"/>
      <protection/>
    </xf>
    <xf numFmtId="0" fontId="0" fillId="0" borderId="10" xfId="0" applyFont="1" applyFill="1" applyBorder="1" applyAlignment="1" applyProtection="1">
      <alignment vertical="center" wrapText="1"/>
      <protection/>
    </xf>
    <xf numFmtId="0" fontId="1" fillId="0" borderId="23" xfId="0" applyFont="1" applyFill="1" applyBorder="1" applyAlignment="1" applyProtection="1">
      <alignment/>
      <protection/>
    </xf>
    <xf numFmtId="0" fontId="1" fillId="0" borderId="38" xfId="0" applyFont="1" applyFill="1" applyBorder="1" applyAlignment="1" applyProtection="1">
      <alignment vertical="center" wrapText="1"/>
      <protection/>
    </xf>
    <xf numFmtId="0" fontId="1" fillId="0" borderId="18" xfId="0" applyFont="1" applyFill="1" applyBorder="1" applyAlignment="1" applyProtection="1">
      <alignment vertical="center" wrapText="1"/>
      <protection/>
    </xf>
    <xf numFmtId="0" fontId="1" fillId="0" borderId="35" xfId="0" applyFont="1" applyFill="1" applyBorder="1" applyAlignment="1" applyProtection="1">
      <alignment horizontal="left" vertical="center"/>
      <protection/>
    </xf>
    <xf numFmtId="0" fontId="1" fillId="0" borderId="36" xfId="0" applyFont="1" applyFill="1" applyBorder="1" applyAlignment="1" applyProtection="1">
      <alignment horizontal="left" vertical="center"/>
      <protection/>
    </xf>
    <xf numFmtId="0" fontId="1" fillId="0" borderId="22" xfId="0" applyFont="1" applyFill="1" applyBorder="1" applyAlignment="1" applyProtection="1">
      <alignment horizontal="left" vertical="center"/>
      <protection/>
    </xf>
    <xf numFmtId="0" fontId="1" fillId="0" borderId="15" xfId="0" applyFont="1" applyFill="1" applyBorder="1" applyAlignment="1" applyProtection="1">
      <alignment horizontal="center" vertical="center" wrapText="1"/>
      <protection/>
    </xf>
    <xf numFmtId="0" fontId="1" fillId="0" borderId="16" xfId="0" applyFont="1" applyFill="1" applyBorder="1" applyAlignment="1" applyProtection="1">
      <alignment horizontal="center" vertical="center" wrapText="1"/>
      <protection/>
    </xf>
    <xf numFmtId="0" fontId="1" fillId="0" borderId="18" xfId="0" applyFont="1" applyFill="1" applyBorder="1" applyAlignment="1" applyProtection="1">
      <alignment horizontal="center" vertical="center" wrapText="1"/>
      <protection/>
    </xf>
    <xf numFmtId="0" fontId="1" fillId="0" borderId="25" xfId="0" applyFont="1" applyFill="1" applyBorder="1" applyAlignment="1" applyProtection="1">
      <alignment horizontal="left" wrapText="1"/>
      <protection/>
    </xf>
    <xf numFmtId="0" fontId="1" fillId="0" borderId="22" xfId="0" applyFont="1" applyFill="1" applyBorder="1" applyAlignment="1" applyProtection="1">
      <alignment wrapText="1"/>
      <protection/>
    </xf>
    <xf numFmtId="0" fontId="1" fillId="0" borderId="24" xfId="0" applyFont="1" applyFill="1" applyBorder="1" applyAlignment="1" applyProtection="1">
      <alignment vertical="center" wrapText="1"/>
      <protection/>
    </xf>
    <xf numFmtId="0" fontId="1" fillId="0" borderId="26"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1" fillId="0" borderId="54" xfId="0" applyFont="1" applyFill="1" applyBorder="1" applyAlignment="1" applyProtection="1">
      <alignment horizontal="left" vertical="center"/>
      <protection/>
    </xf>
    <xf numFmtId="0" fontId="1" fillId="0" borderId="39" xfId="0" applyFont="1" applyFill="1" applyBorder="1" applyAlignment="1" applyProtection="1">
      <alignment horizontal="left" vertical="center"/>
      <protection/>
    </xf>
    <xf numFmtId="0" fontId="1" fillId="0" borderId="55" xfId="0" applyFont="1" applyFill="1" applyBorder="1" applyAlignment="1" applyProtection="1">
      <alignment horizontal="left" vertical="center"/>
      <protection/>
    </xf>
    <xf numFmtId="0" fontId="18" fillId="0" borderId="0" xfId="0" applyFont="1" applyFill="1" applyAlignment="1" applyProtection="1">
      <alignment horizontal="justify"/>
      <protection/>
    </xf>
    <xf numFmtId="0" fontId="23" fillId="0" borderId="0" xfId="0" applyFont="1" applyFill="1" applyAlignment="1" applyProtection="1">
      <alignment/>
      <protection/>
    </xf>
    <xf numFmtId="0" fontId="5" fillId="0" borderId="13" xfId="0"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xf>
    <xf numFmtId="0" fontId="8" fillId="0" borderId="21" xfId="0" applyFont="1" applyFill="1" applyBorder="1" applyAlignment="1" applyProtection="1">
      <alignment/>
      <protection/>
    </xf>
    <xf numFmtId="0" fontId="1" fillId="0" borderId="56" xfId="0" applyFont="1" applyFill="1" applyBorder="1" applyAlignment="1" applyProtection="1">
      <alignment horizontal="center" vertical="center" wrapText="1"/>
      <protection/>
    </xf>
    <xf numFmtId="0" fontId="1" fillId="0" borderId="43" xfId="0" applyFont="1" applyFill="1" applyBorder="1" applyAlignment="1" applyProtection="1">
      <alignment horizontal="center" vertical="center" wrapText="1"/>
      <protection/>
    </xf>
    <xf numFmtId="0" fontId="1" fillId="0" borderId="24" xfId="0" applyFont="1" applyFill="1" applyBorder="1" applyAlignment="1" applyProtection="1">
      <alignment horizontal="left" wrapText="1"/>
      <protection/>
    </xf>
    <xf numFmtId="0" fontId="1" fillId="0" borderId="35" xfId="0" applyFont="1" applyFill="1" applyBorder="1" applyAlignment="1" applyProtection="1">
      <alignment horizontal="left" wrapText="1"/>
      <protection/>
    </xf>
    <xf numFmtId="0" fontId="1" fillId="0" borderId="11" xfId="0" applyFont="1" applyFill="1" applyBorder="1" applyAlignment="1" applyProtection="1">
      <alignment horizontal="left" wrapText="1"/>
      <protection/>
    </xf>
    <xf numFmtId="0" fontId="1" fillId="0" borderId="36" xfId="0" applyFont="1" applyFill="1" applyBorder="1" applyAlignment="1" applyProtection="1">
      <alignment horizontal="left" wrapText="1"/>
      <protection/>
    </xf>
    <xf numFmtId="0" fontId="1" fillId="0" borderId="22" xfId="0" applyFont="1" applyFill="1" applyBorder="1" applyAlignment="1" applyProtection="1">
      <alignment vertical="center"/>
      <protection/>
    </xf>
    <xf numFmtId="0" fontId="1" fillId="0" borderId="23" xfId="0" applyFont="1" applyFill="1" applyBorder="1" applyAlignment="1" applyProtection="1">
      <alignment vertical="center"/>
      <protection/>
    </xf>
    <xf numFmtId="0" fontId="1" fillId="0" borderId="22" xfId="0" applyFont="1" applyFill="1" applyBorder="1" applyAlignment="1" applyProtection="1">
      <alignment vertical="center" wrapText="1"/>
      <protection/>
    </xf>
    <xf numFmtId="0" fontId="1" fillId="0" borderId="23" xfId="0" applyFont="1" applyFill="1" applyBorder="1" applyAlignment="1" applyProtection="1">
      <alignment vertical="center" wrapText="1"/>
      <protection/>
    </xf>
    <xf numFmtId="0" fontId="1" fillId="0" borderId="11" xfId="0" applyFont="1" applyFill="1" applyBorder="1" applyAlignment="1" applyProtection="1">
      <alignment wrapText="1"/>
      <protection/>
    </xf>
    <xf numFmtId="0" fontId="1" fillId="0" borderId="36" xfId="0" applyFont="1" applyFill="1" applyBorder="1" applyAlignment="1" applyProtection="1">
      <alignment wrapText="1"/>
      <protection/>
    </xf>
    <xf numFmtId="0" fontId="1" fillId="0" borderId="26" xfId="0" applyFont="1" applyFill="1" applyBorder="1" applyAlignment="1" applyProtection="1">
      <alignment horizontal="center" vertical="center"/>
      <protection/>
    </xf>
    <xf numFmtId="0" fontId="1" fillId="0" borderId="29" xfId="0" applyFont="1" applyFill="1" applyBorder="1" applyAlignment="1" applyProtection="1">
      <alignment horizontal="center" vertical="center"/>
      <protection/>
    </xf>
    <xf numFmtId="0" fontId="1" fillId="0" borderId="24" xfId="0" applyFont="1" applyFill="1" applyBorder="1" applyAlignment="1" applyProtection="1">
      <alignment horizontal="center" vertical="center"/>
      <protection/>
    </xf>
    <xf numFmtId="0" fontId="1" fillId="0" borderId="26" xfId="0" applyFont="1" applyBorder="1" applyAlignment="1">
      <alignment vertical="center" wrapText="1"/>
    </xf>
    <xf numFmtId="0" fontId="1" fillId="0" borderId="24" xfId="0" applyFont="1" applyBorder="1" applyAlignment="1">
      <alignment vertical="center" wrapText="1"/>
    </xf>
    <xf numFmtId="0" fontId="1" fillId="0" borderId="57" xfId="0" applyFont="1" applyBorder="1" applyAlignment="1">
      <alignment vertical="center" wrapText="1"/>
    </xf>
    <xf numFmtId="0" fontId="1" fillId="0" borderId="44" xfId="0" applyFont="1" applyBorder="1" applyAlignment="1">
      <alignment vertical="center" wrapText="1"/>
    </xf>
    <xf numFmtId="0" fontId="0" fillId="0" borderId="18" xfId="0" applyFont="1" applyBorder="1" applyAlignment="1">
      <alignment vertical="center"/>
    </xf>
    <xf numFmtId="0" fontId="1" fillId="0" borderId="37" xfId="0" applyFont="1" applyBorder="1" applyAlignment="1">
      <alignment wrapText="1"/>
    </xf>
    <xf numFmtId="0" fontId="0" fillId="0" borderId="10" xfId="0" applyFont="1" applyBorder="1" applyAlignment="1">
      <alignment/>
    </xf>
    <xf numFmtId="0" fontId="0" fillId="0" borderId="58" xfId="0" applyFont="1" applyBorder="1" applyAlignment="1">
      <alignment/>
    </xf>
    <xf numFmtId="0" fontId="8" fillId="0" borderId="22" xfId="0" applyFont="1" applyBorder="1" applyAlignment="1" applyProtection="1">
      <alignment/>
      <protection locked="0"/>
    </xf>
    <xf numFmtId="0" fontId="8" fillId="0" borderId="17" xfId="0" applyFont="1" applyBorder="1" applyAlignment="1" applyProtection="1">
      <alignment/>
      <protection locked="0"/>
    </xf>
    <xf numFmtId="0" fontId="8" fillId="0" borderId="35" xfId="0" applyFont="1" applyBorder="1" applyAlignment="1" applyProtection="1">
      <alignment/>
      <protection locked="0"/>
    </xf>
    <xf numFmtId="0" fontId="8" fillId="0" borderId="11" xfId="0" applyFont="1" applyBorder="1" applyAlignment="1" applyProtection="1">
      <alignment/>
      <protection locked="0"/>
    </xf>
    <xf numFmtId="0" fontId="8" fillId="0" borderId="59" xfId="0" applyFont="1" applyBorder="1" applyAlignment="1" applyProtection="1">
      <alignment/>
      <protection locked="0"/>
    </xf>
    <xf numFmtId="0" fontId="8" fillId="0" borderId="40" xfId="0" applyFont="1" applyBorder="1" applyAlignment="1" applyProtection="1">
      <alignment vertical="justify"/>
      <protection locked="0"/>
    </xf>
    <xf numFmtId="0" fontId="8" fillId="0" borderId="41" xfId="0" applyFont="1" applyBorder="1" applyAlignment="1" applyProtection="1">
      <alignment vertical="justify"/>
      <protection locked="0"/>
    </xf>
    <xf numFmtId="0" fontId="8" fillId="0" borderId="60" xfId="0" applyFont="1" applyBorder="1" applyAlignment="1" applyProtection="1">
      <alignment vertical="justify"/>
      <protection locked="0"/>
    </xf>
    <xf numFmtId="0" fontId="8" fillId="0" borderId="16" xfId="0" applyFont="1" applyBorder="1" applyAlignment="1" applyProtection="1">
      <alignment/>
      <protection locked="0"/>
    </xf>
    <xf numFmtId="0" fontId="5" fillId="0" borderId="0" xfId="0" applyFont="1" applyAlignment="1">
      <alignment wrapText="1"/>
    </xf>
    <xf numFmtId="0" fontId="24" fillId="0" borderId="0" xfId="0" applyFont="1" applyAlignment="1">
      <alignment/>
    </xf>
    <xf numFmtId="0" fontId="8" fillId="0" borderId="15" xfId="0" applyFont="1" applyBorder="1" applyAlignment="1" applyProtection="1">
      <alignment/>
      <protection locked="0"/>
    </xf>
    <xf numFmtId="0" fontId="8" fillId="0" borderId="25" xfId="0" applyFont="1" applyBorder="1" applyAlignment="1" applyProtection="1">
      <alignment/>
      <protection locked="0"/>
    </xf>
    <xf numFmtId="0" fontId="8" fillId="0" borderId="18" xfId="0" applyFont="1" applyBorder="1" applyAlignment="1" applyProtection="1">
      <alignment/>
      <protection locked="0"/>
    </xf>
    <xf numFmtId="0" fontId="8" fillId="0" borderId="23" xfId="0" applyFont="1" applyBorder="1" applyAlignment="1" applyProtection="1">
      <alignment/>
      <protection locked="0"/>
    </xf>
    <xf numFmtId="0" fontId="8" fillId="0" borderId="20" xfId="0" applyFont="1" applyBorder="1" applyAlignment="1" applyProtection="1">
      <alignment/>
      <protection locked="0"/>
    </xf>
    <xf numFmtId="0" fontId="4" fillId="0" borderId="0" xfId="0" applyFont="1" applyAlignment="1">
      <alignment wrapText="1"/>
    </xf>
    <xf numFmtId="0" fontId="0" fillId="0" borderId="0" xfId="0" applyAlignment="1">
      <alignment wrapText="1"/>
    </xf>
    <xf numFmtId="49" fontId="5" fillId="0" borderId="25" xfId="0" applyNumberFormat="1" applyFont="1" applyBorder="1" applyAlignment="1">
      <alignment horizontal="center" vertical="center" wrapText="1"/>
    </xf>
    <xf numFmtId="49" fontId="5" fillId="0" borderId="22" xfId="0" applyNumberFormat="1" applyFont="1" applyBorder="1" applyAlignment="1">
      <alignment horizontal="center" vertical="center" wrapText="1"/>
    </xf>
    <xf numFmtId="49" fontId="5" fillId="0" borderId="23" xfId="0" applyNumberFormat="1" applyFont="1" applyBorder="1" applyAlignment="1">
      <alignment horizontal="center" vertical="center" wrapText="1"/>
    </xf>
    <xf numFmtId="0" fontId="5" fillId="0" borderId="25"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9" xfId="0" applyFont="1" applyBorder="1" applyAlignment="1">
      <alignment horizontal="center" vertical="center" wrapText="1"/>
    </xf>
    <xf numFmtId="0" fontId="1" fillId="0" borderId="23" xfId="0" applyFont="1" applyBorder="1" applyAlignment="1">
      <alignment vertical="center"/>
    </xf>
    <xf numFmtId="0" fontId="5" fillId="0" borderId="17" xfId="0" applyFont="1" applyBorder="1" applyAlignment="1">
      <alignment horizontal="center" vertical="center" wrapText="1"/>
    </xf>
    <xf numFmtId="0" fontId="8" fillId="0" borderId="19" xfId="0" applyFont="1" applyBorder="1" applyAlignment="1" applyProtection="1">
      <alignment/>
      <protection locked="0"/>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0" fillId="0" borderId="53" xfId="0" applyBorder="1" applyAlignment="1">
      <alignment horizontal="center" vertical="center" wrapText="1"/>
    </xf>
    <xf numFmtId="0" fontId="24" fillId="0" borderId="61" xfId="0" applyFont="1" applyBorder="1" applyAlignment="1">
      <alignment horizontal="center" vertical="center" wrapText="1"/>
    </xf>
    <xf numFmtId="0" fontId="24" fillId="0" borderId="0" xfId="0" applyFont="1" applyBorder="1" applyAlignment="1">
      <alignment horizontal="center" vertical="center" wrapText="1"/>
    </xf>
    <xf numFmtId="0" fontId="0" fillId="0" borderId="30" xfId="0" applyBorder="1" applyAlignment="1">
      <alignment horizontal="center" vertical="center" wrapText="1"/>
    </xf>
    <xf numFmtId="0" fontId="24" fillId="0" borderId="62" xfId="0" applyFont="1" applyBorder="1" applyAlignment="1">
      <alignment horizontal="center" vertical="center" wrapText="1"/>
    </xf>
    <xf numFmtId="0" fontId="24" fillId="0" borderId="39" xfId="0" applyFont="1" applyBorder="1" applyAlignment="1">
      <alignment horizontal="center" vertical="center" wrapText="1"/>
    </xf>
    <xf numFmtId="0" fontId="0" fillId="0" borderId="55" xfId="0" applyBorder="1" applyAlignment="1">
      <alignment horizontal="center" vertical="center" wrapText="1"/>
    </xf>
    <xf numFmtId="0" fontId="0" fillId="0" borderId="23" xfId="0" applyFont="1" applyBorder="1" applyAlignment="1">
      <alignment/>
    </xf>
    <xf numFmtId="0" fontId="1" fillId="0" borderId="56" xfId="0" applyFont="1" applyBorder="1" applyAlignment="1">
      <alignment vertical="center"/>
    </xf>
    <xf numFmtId="0" fontId="1" fillId="0" borderId="43" xfId="0" applyFont="1" applyBorder="1" applyAlignment="1">
      <alignment vertical="center"/>
    </xf>
    <xf numFmtId="0" fontId="1" fillId="0" borderId="43" xfId="0" applyFont="1" applyBorder="1" applyAlignment="1">
      <alignment/>
    </xf>
    <xf numFmtId="0" fontId="0" fillId="0" borderId="43" xfId="0" applyFont="1" applyBorder="1" applyAlignment="1">
      <alignment/>
    </xf>
    <xf numFmtId="0" fontId="0" fillId="0" borderId="63" xfId="0" applyFont="1" applyBorder="1" applyAlignment="1">
      <alignment/>
    </xf>
    <xf numFmtId="0" fontId="3" fillId="0" borderId="28" xfId="0" applyFont="1" applyBorder="1" applyAlignment="1">
      <alignment vertical="center" wrapText="1"/>
    </xf>
    <xf numFmtId="0" fontId="3" fillId="0" borderId="29" xfId="0" applyFont="1" applyBorder="1" applyAlignment="1">
      <alignment vertical="center"/>
    </xf>
    <xf numFmtId="0" fontId="3" fillId="0" borderId="29" xfId="0" applyFont="1" applyBorder="1" applyAlignment="1">
      <alignment/>
    </xf>
    <xf numFmtId="0" fontId="23" fillId="0" borderId="29" xfId="0" applyFont="1" applyBorder="1" applyAlignment="1">
      <alignment/>
    </xf>
    <xf numFmtId="0" fontId="23" fillId="0" borderId="57" xfId="0" applyFont="1" applyBorder="1" applyAlignment="1">
      <alignment/>
    </xf>
    <xf numFmtId="0" fontId="3" fillId="0" borderId="44" xfId="0" applyFont="1" applyBorder="1" applyAlignment="1">
      <alignment vertical="center" wrapText="1"/>
    </xf>
    <xf numFmtId="0" fontId="3" fillId="0" borderId="16" xfId="0" applyFont="1" applyBorder="1" applyAlignment="1">
      <alignment vertical="center"/>
    </xf>
    <xf numFmtId="0" fontId="3" fillId="0" borderId="18" xfId="0" applyFont="1" applyBorder="1" applyAlignment="1">
      <alignment/>
    </xf>
    <xf numFmtId="0" fontId="1" fillId="0" borderId="24" xfId="0" applyFont="1" applyBorder="1" applyAlignment="1">
      <alignment wrapText="1"/>
    </xf>
    <xf numFmtId="0" fontId="1" fillId="0" borderId="24" xfId="0" applyFont="1" applyBorder="1" applyAlignment="1">
      <alignment/>
    </xf>
    <xf numFmtId="0" fontId="3" fillId="0" borderId="2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7" xfId="0" applyFont="1" applyBorder="1" applyAlignment="1">
      <alignment horizontal="center" vertical="center" wrapText="1"/>
    </xf>
    <xf numFmtId="49" fontId="3" fillId="0" borderId="25" xfId="0" applyNumberFormat="1" applyFont="1" applyBorder="1" applyAlignment="1">
      <alignment horizontal="center" vertical="center" wrapText="1"/>
    </xf>
    <xf numFmtId="49" fontId="3" fillId="0" borderId="22"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0" fontId="3" fillId="0" borderId="15" xfId="0" applyFont="1" applyBorder="1" applyAlignment="1">
      <alignment horizontal="center" vertical="center" wrapText="1"/>
    </xf>
    <xf numFmtId="0" fontId="0" fillId="0" borderId="2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2" xfId="0" applyFont="1" applyBorder="1" applyAlignment="1">
      <alignment horizontal="center" vertical="center" wrapText="1"/>
    </xf>
    <xf numFmtId="0" fontId="0" fillId="0" borderId="22"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23" xfId="0" applyFont="1" applyBorder="1" applyAlignment="1">
      <alignment horizontal="center" vertical="center" wrapText="1"/>
    </xf>
    <xf numFmtId="0" fontId="0" fillId="0" borderId="23" xfId="0" applyFont="1" applyBorder="1" applyAlignment="1">
      <alignment horizontal="center" vertical="center" wrapText="1"/>
    </xf>
    <xf numFmtId="0" fontId="1" fillId="0" borderId="23" xfId="0" applyFont="1" applyBorder="1" applyAlignment="1">
      <alignment/>
    </xf>
    <xf numFmtId="0" fontId="1" fillId="0" borderId="26" xfId="0" applyFont="1" applyBorder="1" applyAlignment="1">
      <alignment horizontal="center" vertical="center"/>
    </xf>
    <xf numFmtId="0" fontId="1" fillId="0" borderId="29" xfId="0" applyFont="1" applyBorder="1" applyAlignment="1">
      <alignment horizontal="center" vertical="center"/>
    </xf>
    <xf numFmtId="0" fontId="1" fillId="0" borderId="24" xfId="0" applyFont="1" applyBorder="1" applyAlignment="1">
      <alignment horizontal="center" vertical="center"/>
    </xf>
    <xf numFmtId="0" fontId="1" fillId="0" borderId="26" xfId="0" applyFont="1" applyBorder="1" applyAlignment="1">
      <alignment vertical="center"/>
    </xf>
    <xf numFmtId="0" fontId="1" fillId="0" borderId="24" xfId="0" applyFont="1" applyBorder="1" applyAlignment="1">
      <alignment vertical="center"/>
    </xf>
    <xf numFmtId="0" fontId="0" fillId="0" borderId="22" xfId="0" applyBorder="1" applyAlignment="1">
      <alignment/>
    </xf>
    <xf numFmtId="0" fontId="3" fillId="0" borderId="25" xfId="0" applyFont="1" applyBorder="1" applyAlignment="1">
      <alignment vertical="center" wrapText="1"/>
    </xf>
    <xf numFmtId="0" fontId="0" fillId="0" borderId="22" xfId="0" applyBorder="1" applyAlignment="1">
      <alignment vertical="center"/>
    </xf>
    <xf numFmtId="0" fontId="0" fillId="0" borderId="23" xfId="0" applyBorder="1" applyAlignment="1">
      <alignment vertical="center"/>
    </xf>
    <xf numFmtId="0" fontId="0" fillId="0" borderId="36" xfId="0" applyBorder="1" applyAlignment="1">
      <alignment/>
    </xf>
    <xf numFmtId="0" fontId="1" fillId="0" borderId="15" xfId="0" applyFont="1" applyBorder="1" applyAlignment="1">
      <alignment vertical="center"/>
    </xf>
    <xf numFmtId="0" fontId="0" fillId="0" borderId="16" xfId="0" applyBorder="1" applyAlignment="1">
      <alignment/>
    </xf>
    <xf numFmtId="0" fontId="0" fillId="0" borderId="18" xfId="0" applyBorder="1" applyAlignment="1">
      <alignment/>
    </xf>
    <xf numFmtId="0" fontId="0" fillId="0" borderId="23" xfId="0" applyBorder="1" applyAlignment="1">
      <alignment/>
    </xf>
    <xf numFmtId="0" fontId="3" fillId="0" borderId="26" xfId="0" applyFont="1" applyBorder="1" applyAlignment="1">
      <alignment horizontal="center" vertical="center" wrapText="1"/>
    </xf>
    <xf numFmtId="0" fontId="23" fillId="0" borderId="38" xfId="0" applyFont="1" applyBorder="1" applyAlignment="1">
      <alignment horizontal="center" vertical="center" wrapText="1"/>
    </xf>
    <xf numFmtId="0" fontId="23" fillId="0" borderId="26" xfId="0" applyFont="1" applyBorder="1" applyAlignment="1">
      <alignment horizontal="center" vertical="center" wrapText="1"/>
    </xf>
    <xf numFmtId="0" fontId="0" fillId="0" borderId="26" xfId="0" applyFont="1" applyBorder="1" applyAlignment="1">
      <alignment horizontal="center" vertical="center" wrapText="1"/>
    </xf>
    <xf numFmtId="49" fontId="3" fillId="0" borderId="26" xfId="0" applyNumberFormat="1" applyFont="1" applyBorder="1" applyAlignment="1">
      <alignment horizontal="center" vertical="center" wrapText="1"/>
    </xf>
    <xf numFmtId="0" fontId="0" fillId="0" borderId="16" xfId="0" applyBorder="1" applyAlignment="1">
      <alignment vertical="center"/>
    </xf>
    <xf numFmtId="0" fontId="0" fillId="0" borderId="18" xfId="0" applyBorder="1" applyAlignment="1">
      <alignment vertical="center"/>
    </xf>
    <xf numFmtId="0" fontId="23" fillId="0" borderId="16" xfId="0" applyFont="1" applyBorder="1" applyAlignment="1">
      <alignment vertical="center"/>
    </xf>
    <xf numFmtId="0" fontId="23" fillId="0" borderId="16" xfId="0" applyFont="1" applyBorder="1" applyAlignment="1">
      <alignment/>
    </xf>
    <xf numFmtId="0" fontId="23" fillId="0" borderId="18" xfId="0" applyFont="1" applyBorder="1" applyAlignment="1">
      <alignment/>
    </xf>
    <xf numFmtId="0" fontId="1" fillId="0" borderId="25" xfId="0" applyFont="1" applyBorder="1" applyAlignment="1">
      <alignment/>
    </xf>
    <xf numFmtId="0" fontId="0" fillId="0" borderId="24" xfId="0" applyFont="1" applyBorder="1" applyAlignment="1">
      <alignment/>
    </xf>
    <xf numFmtId="0" fontId="18" fillId="0" borderId="39" xfId="0" applyFont="1" applyBorder="1" applyAlignment="1">
      <alignment/>
    </xf>
    <xf numFmtId="0" fontId="0" fillId="0" borderId="39" xfId="0" applyBorder="1" applyAlignment="1">
      <alignment/>
    </xf>
    <xf numFmtId="0" fontId="1" fillId="0" borderId="23" xfId="0" applyFont="1" applyBorder="1" applyAlignment="1">
      <alignment vertical="center" wrapText="1"/>
    </xf>
    <xf numFmtId="0" fontId="1" fillId="0" borderId="25" xfId="0" applyFont="1" applyBorder="1" applyAlignment="1">
      <alignment vertical="center" wrapText="1"/>
    </xf>
    <xf numFmtId="0" fontId="1" fillId="0" borderId="25" xfId="0" applyFont="1" applyBorder="1" applyAlignment="1">
      <alignment vertical="center"/>
    </xf>
    <xf numFmtId="0" fontId="0" fillId="0" borderId="43" xfId="0" applyBorder="1" applyAlignment="1">
      <alignment vertical="center"/>
    </xf>
    <xf numFmtId="0" fontId="0" fillId="0" borderId="63" xfId="0" applyBorder="1" applyAlignment="1">
      <alignment vertical="center"/>
    </xf>
    <xf numFmtId="0" fontId="3" fillId="0" borderId="22" xfId="0" applyFont="1" applyBorder="1" applyAlignment="1">
      <alignment wrapText="1"/>
    </xf>
    <xf numFmtId="0" fontId="3" fillId="0" borderId="43" xfId="0" applyFont="1" applyBorder="1" applyAlignment="1">
      <alignment vertical="center" wrapText="1"/>
    </xf>
    <xf numFmtId="0" fontId="3" fillId="0" borderId="63" xfId="0" applyFont="1" applyBorder="1" applyAlignment="1">
      <alignment vertical="center" wrapText="1"/>
    </xf>
    <xf numFmtId="0" fontId="1" fillId="0" borderId="10" xfId="0" applyFont="1" applyBorder="1" applyAlignment="1">
      <alignment wrapText="1"/>
    </xf>
    <xf numFmtId="0" fontId="1" fillId="0" borderId="58" xfId="0" applyFont="1" applyBorder="1" applyAlignment="1">
      <alignment wrapText="1"/>
    </xf>
    <xf numFmtId="0" fontId="1" fillId="0" borderId="26" xfId="0" applyFont="1" applyBorder="1" applyAlignment="1">
      <alignment wrapText="1"/>
    </xf>
    <xf numFmtId="0" fontId="1" fillId="0" borderId="29" xfId="0" applyFont="1" applyBorder="1" applyAlignment="1">
      <alignment vertical="center"/>
    </xf>
    <xf numFmtId="0" fontId="3" fillId="0" borderId="16" xfId="0" applyFont="1" applyBorder="1" applyAlignment="1">
      <alignment horizontal="left" vertical="center" wrapText="1"/>
    </xf>
    <xf numFmtId="0" fontId="3" fillId="0" borderId="22" xfId="0" applyFont="1" applyBorder="1" applyAlignment="1">
      <alignment horizontal="left" vertical="center" wrapText="1"/>
    </xf>
    <xf numFmtId="0" fontId="1" fillId="0" borderId="22" xfId="0" applyFont="1" applyBorder="1" applyAlignment="1">
      <alignment horizontal="left" vertical="center" wrapText="1"/>
    </xf>
    <xf numFmtId="0" fontId="3" fillId="0" borderId="56" xfId="0" applyFont="1" applyBorder="1" applyAlignment="1" applyProtection="1">
      <alignment vertical="top" wrapText="1"/>
      <protection/>
    </xf>
    <xf numFmtId="0" fontId="23" fillId="0" borderId="43" xfId="0" applyFont="1" applyBorder="1" applyAlignment="1" applyProtection="1">
      <alignment vertical="top"/>
      <protection/>
    </xf>
    <xf numFmtId="0" fontId="23" fillId="0" borderId="63" xfId="0" applyFont="1" applyBorder="1" applyAlignment="1" applyProtection="1">
      <alignment vertical="top"/>
      <protection/>
    </xf>
    <xf numFmtId="0" fontId="1" fillId="0" borderId="25" xfId="0" applyFont="1" applyBorder="1" applyAlignment="1" applyProtection="1">
      <alignment wrapText="1"/>
      <protection/>
    </xf>
    <xf numFmtId="0" fontId="0" fillId="0" borderId="25" xfId="0" applyFont="1" applyBorder="1" applyAlignment="1" applyProtection="1">
      <alignment/>
      <protection/>
    </xf>
    <xf numFmtId="0" fontId="1" fillId="0" borderId="22" xfId="0" applyFont="1" applyBorder="1" applyAlignment="1" applyProtection="1">
      <alignment wrapText="1"/>
      <protection/>
    </xf>
    <xf numFmtId="0" fontId="0" fillId="0" borderId="22" xfId="0" applyFont="1" applyBorder="1" applyAlignment="1" applyProtection="1">
      <alignment/>
      <protection/>
    </xf>
    <xf numFmtId="0" fontId="1" fillId="0" borderId="23" xfId="0" applyFont="1" applyBorder="1" applyAlignment="1" applyProtection="1">
      <alignment wrapText="1"/>
      <protection/>
    </xf>
    <xf numFmtId="0" fontId="0" fillId="0" borderId="23" xfId="0" applyBorder="1" applyAlignment="1" applyProtection="1">
      <alignment/>
      <protection/>
    </xf>
    <xf numFmtId="0" fontId="1" fillId="0" borderId="22" xfId="0" applyFont="1" applyBorder="1" applyAlignment="1" applyProtection="1">
      <alignment/>
      <protection/>
    </xf>
    <xf numFmtId="0" fontId="0" fillId="0" borderId="22" xfId="0" applyBorder="1" applyAlignment="1" applyProtection="1">
      <alignment/>
      <protection/>
    </xf>
    <xf numFmtId="0" fontId="1" fillId="0" borderId="22" xfId="0" applyFont="1" applyBorder="1" applyAlignment="1" applyProtection="1">
      <alignment vertical="center"/>
      <protection/>
    </xf>
    <xf numFmtId="0" fontId="3" fillId="0" borderId="15" xfId="0" applyFont="1" applyBorder="1" applyAlignment="1" applyProtection="1">
      <alignment vertical="center" wrapText="1"/>
      <protection/>
    </xf>
    <xf numFmtId="0" fontId="23" fillId="0" borderId="16" xfId="0" applyFont="1" applyBorder="1" applyAlignment="1" applyProtection="1">
      <alignment vertical="center"/>
      <protection/>
    </xf>
    <xf numFmtId="0" fontId="23" fillId="0" borderId="16" xfId="0" applyFont="1" applyBorder="1" applyAlignment="1" applyProtection="1">
      <alignment/>
      <protection/>
    </xf>
    <xf numFmtId="0" fontId="23" fillId="0" borderId="18" xfId="0" applyFont="1" applyBorder="1" applyAlignment="1" applyProtection="1">
      <alignment/>
      <protection/>
    </xf>
    <xf numFmtId="0" fontId="3" fillId="0" borderId="51" xfId="0" applyFont="1" applyBorder="1" applyAlignment="1" applyProtection="1">
      <alignment horizontal="left" vertical="center" wrapText="1"/>
      <protection/>
    </xf>
    <xf numFmtId="0" fontId="3" fillId="0" borderId="52" xfId="0" applyFont="1" applyBorder="1" applyAlignment="1" applyProtection="1">
      <alignment horizontal="left" vertical="center" wrapText="1"/>
      <protection/>
    </xf>
    <xf numFmtId="0" fontId="3" fillId="0" borderId="61"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3" fillId="0" borderId="62" xfId="0" applyFont="1" applyBorder="1" applyAlignment="1" applyProtection="1">
      <alignment horizontal="left" vertical="center" wrapText="1"/>
      <protection/>
    </xf>
    <xf numFmtId="0" fontId="3" fillId="0" borderId="39" xfId="0" applyFont="1" applyBorder="1" applyAlignment="1" applyProtection="1">
      <alignment horizontal="left" vertical="center" wrapText="1"/>
      <protection/>
    </xf>
    <xf numFmtId="0" fontId="1" fillId="0" borderId="35" xfId="0" applyFont="1" applyBorder="1" applyAlignment="1" applyProtection="1">
      <alignment horizontal="left" vertical="center" wrapText="1"/>
      <protection/>
    </xf>
    <xf numFmtId="0" fontId="3" fillId="0" borderId="36" xfId="0" applyFont="1" applyBorder="1" applyAlignment="1" applyProtection="1">
      <alignment horizontal="left" vertical="center" wrapText="1"/>
      <protection/>
    </xf>
    <xf numFmtId="0" fontId="1" fillId="0" borderId="36" xfId="0" applyFont="1" applyBorder="1" applyAlignment="1" applyProtection="1">
      <alignment horizontal="left" vertical="center" wrapText="1"/>
      <protection/>
    </xf>
    <xf numFmtId="0" fontId="0" fillId="0" borderId="24" xfId="0" applyFont="1" applyBorder="1" applyAlignment="1" applyProtection="1">
      <alignment/>
      <protection/>
    </xf>
    <xf numFmtId="0" fontId="18" fillId="0" borderId="39" xfId="0" applyFont="1" applyBorder="1" applyAlignment="1" applyProtection="1">
      <alignment/>
      <protection/>
    </xf>
    <xf numFmtId="0" fontId="0" fillId="0" borderId="39" xfId="0" applyBorder="1" applyAlignment="1" applyProtection="1">
      <alignment/>
      <protection/>
    </xf>
    <xf numFmtId="0" fontId="3" fillId="0" borderId="15" xfId="0" applyFont="1" applyBorder="1" applyAlignment="1" applyProtection="1">
      <alignment horizontal="center" vertical="center" wrapText="1"/>
      <protection/>
    </xf>
    <xf numFmtId="0" fontId="3" fillId="0" borderId="25" xfId="0" applyFont="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0" fontId="23" fillId="0" borderId="16" xfId="0" applyFont="1" applyBorder="1" applyAlignment="1" applyProtection="1">
      <alignment horizontal="center" vertical="center" wrapText="1"/>
      <protection/>
    </xf>
    <xf numFmtId="0" fontId="23" fillId="0" borderId="22" xfId="0" applyFont="1" applyBorder="1" applyAlignment="1" applyProtection="1">
      <alignment horizontal="center" vertical="center" wrapText="1"/>
      <protection/>
    </xf>
    <xf numFmtId="0" fontId="0" fillId="0" borderId="22"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23" fillId="0" borderId="23" xfId="0" applyFont="1" applyBorder="1" applyAlignment="1" applyProtection="1">
      <alignment horizontal="center" vertical="center" wrapText="1"/>
      <protection/>
    </xf>
    <xf numFmtId="0" fontId="23" fillId="0" borderId="26" xfId="0" applyFont="1" applyBorder="1" applyAlignment="1" applyProtection="1">
      <alignment horizontal="center" vertical="center" wrapText="1"/>
      <protection/>
    </xf>
    <xf numFmtId="0" fontId="0" fillId="0" borderId="26" xfId="0" applyFont="1" applyBorder="1" applyAlignment="1" applyProtection="1">
      <alignment horizontal="center" vertical="center" wrapText="1"/>
      <protection/>
    </xf>
    <xf numFmtId="49" fontId="3" fillId="0" borderId="25" xfId="0" applyNumberFormat="1" applyFont="1" applyBorder="1" applyAlignment="1" applyProtection="1">
      <alignment horizontal="center" vertical="center" wrapText="1"/>
      <protection/>
    </xf>
    <xf numFmtId="49" fontId="3" fillId="0" borderId="22" xfId="0" applyNumberFormat="1" applyFont="1" applyBorder="1" applyAlignment="1" applyProtection="1">
      <alignment horizontal="center" vertical="center" wrapText="1"/>
      <protection/>
    </xf>
    <xf numFmtId="49" fontId="3" fillId="0" borderId="26" xfId="0" applyNumberFormat="1"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26" xfId="0" applyFont="1" applyBorder="1" applyAlignment="1">
      <alignment vertical="center" wrapText="1"/>
    </xf>
    <xf numFmtId="0" fontId="0" fillId="0" borderId="29" xfId="0" applyBorder="1" applyAlignment="1">
      <alignment vertical="center"/>
    </xf>
    <xf numFmtId="0" fontId="0" fillId="0" borderId="57" xfId="0" applyBorder="1" applyAlignment="1">
      <alignment vertical="center"/>
    </xf>
    <xf numFmtId="0" fontId="1" fillId="0" borderId="26" xfId="0" applyFont="1" applyBorder="1" applyAlignment="1">
      <alignment/>
    </xf>
    <xf numFmtId="0" fontId="3" fillId="0" borderId="29" xfId="0" applyFont="1" applyBorder="1" applyAlignment="1">
      <alignment vertical="center" wrapText="1"/>
    </xf>
    <xf numFmtId="0" fontId="3" fillId="0" borderId="24" xfId="0" applyFont="1" applyBorder="1" applyAlignment="1">
      <alignment vertical="center" wrapText="1"/>
    </xf>
    <xf numFmtId="0" fontId="1" fillId="0" borderId="22" xfId="0" applyFont="1" applyFill="1" applyBorder="1" applyAlignment="1">
      <alignment wrapText="1"/>
    </xf>
    <xf numFmtId="0" fontId="3" fillId="0" borderId="15" xfId="0" applyFont="1" applyBorder="1" applyAlignment="1">
      <alignment vertical="center" wrapText="1"/>
    </xf>
    <xf numFmtId="0" fontId="3" fillId="0" borderId="38" xfId="0" applyFont="1" applyBorder="1" applyAlignment="1">
      <alignment/>
    </xf>
    <xf numFmtId="0" fontId="0" fillId="0" borderId="29" xfId="0" applyFont="1" applyBorder="1" applyAlignment="1">
      <alignment vertical="center"/>
    </xf>
    <xf numFmtId="0" fontId="0" fillId="0" borderId="24" xfId="0" applyFont="1" applyBorder="1" applyAlignment="1">
      <alignment vertical="center"/>
    </xf>
    <xf numFmtId="0" fontId="3" fillId="0" borderId="26" xfId="0" applyFont="1" applyBorder="1" applyAlignment="1">
      <alignment vertical="center"/>
    </xf>
    <xf numFmtId="0" fontId="3" fillId="0" borderId="24" xfId="0" applyFont="1" applyBorder="1" applyAlignment="1">
      <alignment vertical="center"/>
    </xf>
    <xf numFmtId="0" fontId="1" fillId="0" borderId="38" xfId="0" applyFont="1" applyBorder="1" applyAlignment="1">
      <alignment vertical="center"/>
    </xf>
    <xf numFmtId="0" fontId="0" fillId="0" borderId="43" xfId="0" applyBorder="1" applyAlignment="1">
      <alignment/>
    </xf>
    <xf numFmtId="0" fontId="0" fillId="0" borderId="63" xfId="0" applyBorder="1" applyAlignment="1">
      <alignment/>
    </xf>
    <xf numFmtId="0" fontId="3" fillId="0" borderId="26" xfId="0" applyFont="1" applyFill="1" applyBorder="1" applyAlignment="1">
      <alignment vertical="center" wrapText="1"/>
    </xf>
    <xf numFmtId="0" fontId="23" fillId="0" borderId="29" xfId="0" applyFont="1" applyFill="1" applyBorder="1" applyAlignment="1">
      <alignment vertical="center"/>
    </xf>
    <xf numFmtId="0" fontId="23" fillId="0" borderId="24" xfId="0" applyFont="1" applyFill="1" applyBorder="1" applyAlignment="1">
      <alignment vertical="center"/>
    </xf>
    <xf numFmtId="0" fontId="3" fillId="0" borderId="26" xfId="0" applyFont="1" applyFill="1" applyBorder="1" applyAlignment="1">
      <alignment vertical="top" wrapText="1"/>
    </xf>
    <xf numFmtId="0" fontId="23" fillId="0" borderId="29" xfId="0" applyFont="1" applyFill="1" applyBorder="1" applyAlignment="1">
      <alignment vertical="top"/>
    </xf>
    <xf numFmtId="0" fontId="23" fillId="0" borderId="24" xfId="0" applyFont="1" applyFill="1" applyBorder="1" applyAlignment="1">
      <alignment vertical="top"/>
    </xf>
    <xf numFmtId="0" fontId="1" fillId="0" borderId="23" xfId="0" applyFont="1" applyBorder="1" applyAlignment="1" applyProtection="1">
      <alignment/>
      <protection/>
    </xf>
    <xf numFmtId="0" fontId="1" fillId="0" borderId="26" xfId="0" applyFont="1" applyBorder="1" applyAlignment="1" applyProtection="1">
      <alignment vertical="center"/>
      <protection/>
    </xf>
    <xf numFmtId="0" fontId="1" fillId="0" borderId="29" xfId="0" applyFont="1" applyBorder="1" applyAlignment="1" applyProtection="1">
      <alignment vertical="center"/>
      <protection/>
    </xf>
    <xf numFmtId="0" fontId="1" fillId="0" borderId="24" xfId="0" applyFont="1" applyBorder="1" applyAlignment="1" applyProtection="1">
      <alignment vertical="center"/>
      <protection/>
    </xf>
    <xf numFmtId="0" fontId="0" fillId="0" borderId="21" xfId="0" applyBorder="1" applyAlignment="1" applyProtection="1">
      <alignment wrapText="1"/>
      <protection/>
    </xf>
    <xf numFmtId="0" fontId="4" fillId="0" borderId="39" xfId="0" applyFont="1" applyBorder="1" applyAlignment="1" applyProtection="1">
      <alignment/>
      <protection/>
    </xf>
    <xf numFmtId="0" fontId="28" fillId="0" borderId="39" xfId="0" applyFont="1" applyBorder="1" applyAlignment="1" applyProtection="1">
      <alignment/>
      <protection/>
    </xf>
    <xf numFmtId="0" fontId="0" fillId="0" borderId="22" xfId="0" applyFont="1" applyFill="1" applyBorder="1" applyAlignment="1" applyProtection="1">
      <alignment/>
      <protection/>
    </xf>
    <xf numFmtId="0" fontId="3" fillId="0" borderId="56" xfId="0" applyFont="1" applyBorder="1" applyAlignment="1" applyProtection="1">
      <alignment vertical="center" wrapText="1"/>
      <protection/>
    </xf>
    <xf numFmtId="0" fontId="1" fillId="0" borderId="43" xfId="0" applyFont="1" applyBorder="1" applyAlignment="1" applyProtection="1">
      <alignment vertical="center"/>
      <protection/>
    </xf>
    <xf numFmtId="0" fontId="0" fillId="0" borderId="43" xfId="0" applyFont="1" applyBorder="1" applyAlignment="1" applyProtection="1">
      <alignment/>
      <protection/>
    </xf>
    <xf numFmtId="0" fontId="0" fillId="0" borderId="63" xfId="0" applyFont="1" applyBorder="1" applyAlignment="1" applyProtection="1">
      <alignment/>
      <protection/>
    </xf>
    <xf numFmtId="0" fontId="1" fillId="0" borderId="57" xfId="0" applyFont="1" applyBorder="1" applyAlignment="1" applyProtection="1">
      <alignment vertical="center"/>
      <protection/>
    </xf>
    <xf numFmtId="0" fontId="0" fillId="0" borderId="21" xfId="0" applyFill="1" applyBorder="1" applyAlignment="1" applyProtection="1">
      <alignment wrapText="1"/>
      <protection/>
    </xf>
    <xf numFmtId="0" fontId="18" fillId="0" borderId="39" xfId="0" applyFont="1" applyFill="1" applyBorder="1" applyAlignment="1" applyProtection="1">
      <alignment/>
      <protection/>
    </xf>
    <xf numFmtId="0" fontId="0" fillId="0" borderId="39" xfId="0" applyFill="1" applyBorder="1" applyAlignment="1" applyProtection="1">
      <alignment/>
      <protection/>
    </xf>
    <xf numFmtId="0" fontId="3" fillId="0" borderId="56" xfId="0" applyFont="1" applyFill="1" applyBorder="1" applyAlignment="1" applyProtection="1">
      <alignment vertical="center" wrapText="1"/>
      <protection/>
    </xf>
    <xf numFmtId="0" fontId="1" fillId="0" borderId="43" xfId="0" applyFont="1" applyFill="1" applyBorder="1" applyAlignment="1" applyProtection="1">
      <alignment vertical="center"/>
      <protection/>
    </xf>
    <xf numFmtId="0" fontId="1" fillId="0" borderId="43" xfId="0" applyFont="1" applyFill="1" applyBorder="1" applyAlignment="1" applyProtection="1">
      <alignment/>
      <protection/>
    </xf>
    <xf numFmtId="0" fontId="1" fillId="0" borderId="63" xfId="0" applyFont="1" applyFill="1" applyBorder="1" applyAlignment="1" applyProtection="1">
      <alignment/>
      <protection/>
    </xf>
    <xf numFmtId="0" fontId="1" fillId="0" borderId="25" xfId="0" applyFont="1" applyFill="1" applyBorder="1" applyAlignment="1" applyProtection="1">
      <alignment wrapText="1"/>
      <protection/>
    </xf>
    <xf numFmtId="0" fontId="1" fillId="0" borderId="26" xfId="0" applyFont="1" applyFill="1" applyBorder="1" applyAlignment="1" applyProtection="1">
      <alignment vertical="center"/>
      <protection/>
    </xf>
    <xf numFmtId="0" fontId="1" fillId="0" borderId="29" xfId="0" applyFont="1" applyFill="1" applyBorder="1" applyAlignment="1" applyProtection="1">
      <alignment vertical="center"/>
      <protection/>
    </xf>
    <xf numFmtId="0" fontId="1" fillId="0" borderId="57" xfId="0" applyFont="1" applyFill="1" applyBorder="1" applyAlignment="1" applyProtection="1">
      <alignment vertical="center"/>
      <protection/>
    </xf>
    <xf numFmtId="0" fontId="1" fillId="0" borderId="24" xfId="0" applyFont="1" applyFill="1" applyBorder="1" applyAlignment="1" applyProtection="1">
      <alignment vertical="center"/>
      <protection/>
    </xf>
    <xf numFmtId="0" fontId="1" fillId="0" borderId="23" xfId="0" applyFont="1" applyFill="1" applyBorder="1" applyAlignment="1" applyProtection="1">
      <alignment wrapText="1"/>
      <protection/>
    </xf>
    <xf numFmtId="0" fontId="1" fillId="0" borderId="26" xfId="0" applyFont="1" applyFill="1" applyBorder="1" applyAlignment="1" applyProtection="1">
      <alignment wrapText="1"/>
      <protection/>
    </xf>
    <xf numFmtId="0" fontId="1" fillId="0" borderId="26" xfId="0" applyFont="1" applyFill="1" applyBorder="1" applyAlignment="1" applyProtection="1">
      <alignment/>
      <protection/>
    </xf>
    <xf numFmtId="0" fontId="1" fillId="0" borderId="22" xfId="0" applyFont="1" applyFill="1" applyBorder="1" applyAlignment="1" applyProtection="1">
      <alignment horizontal="left" wrapText="1"/>
      <protection/>
    </xf>
    <xf numFmtId="0" fontId="5" fillId="0" borderId="0" xfId="0" applyFont="1" applyFill="1" applyBorder="1" applyAlignment="1" applyProtection="1">
      <alignment wrapText="1"/>
      <protection/>
    </xf>
    <xf numFmtId="0" fontId="0" fillId="0" borderId="0" xfId="0" applyFill="1" applyAlignment="1" applyProtection="1">
      <alignment/>
      <protection/>
    </xf>
    <xf numFmtId="0" fontId="3" fillId="0" borderId="35" xfId="0" applyFont="1" applyFill="1" applyBorder="1" applyAlignment="1" applyProtection="1">
      <alignment horizontal="left" vertical="top" wrapText="1"/>
      <protection/>
    </xf>
    <xf numFmtId="0" fontId="3" fillId="0" borderId="11" xfId="0" applyFont="1" applyFill="1" applyBorder="1" applyAlignment="1" applyProtection="1">
      <alignment horizontal="left" vertical="top" wrapText="1"/>
      <protection/>
    </xf>
    <xf numFmtId="0" fontId="1" fillId="0" borderId="13" xfId="0" applyFont="1" applyFill="1" applyBorder="1" applyAlignment="1" applyProtection="1">
      <alignment wrapText="1"/>
      <protection/>
    </xf>
    <xf numFmtId="0" fontId="1" fillId="0" borderId="21" xfId="0" applyFont="1" applyFill="1" applyBorder="1" applyAlignment="1" applyProtection="1">
      <alignment/>
      <protection/>
    </xf>
    <xf numFmtId="0" fontId="3" fillId="0" borderId="44" xfId="0" applyFont="1" applyFill="1" applyBorder="1" applyAlignment="1" applyProtection="1">
      <alignment vertical="center" wrapText="1"/>
      <protection/>
    </xf>
    <xf numFmtId="0" fontId="1" fillId="0" borderId="24" xfId="0" applyFont="1" applyFill="1" applyBorder="1" applyAlignment="1" applyProtection="1">
      <alignment/>
      <protection/>
    </xf>
    <xf numFmtId="0" fontId="1" fillId="0" borderId="16" xfId="0" applyFont="1" applyFill="1" applyBorder="1" applyAlignment="1" applyProtection="1">
      <alignment/>
      <protection/>
    </xf>
    <xf numFmtId="0" fontId="1" fillId="0" borderId="18" xfId="0" applyFont="1" applyFill="1" applyBorder="1" applyAlignment="1" applyProtection="1">
      <alignment/>
      <protection/>
    </xf>
    <xf numFmtId="0" fontId="1" fillId="0" borderId="24" xfId="0" applyFont="1" applyFill="1" applyBorder="1" applyAlignment="1" applyProtection="1">
      <alignment wrapText="1"/>
      <protection/>
    </xf>
    <xf numFmtId="0" fontId="1" fillId="0" borderId="51" xfId="0" applyFont="1" applyFill="1" applyBorder="1" applyAlignment="1" applyProtection="1">
      <alignment horizontal="center" vertical="center" wrapText="1"/>
      <protection/>
    </xf>
    <xf numFmtId="0" fontId="1" fillId="0" borderId="53" xfId="0" applyFont="1" applyFill="1" applyBorder="1" applyAlignment="1" applyProtection="1">
      <alignment horizontal="center" vertical="center" wrapText="1"/>
      <protection/>
    </xf>
    <xf numFmtId="0" fontId="1" fillId="0" borderId="61"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8" xfId="0" applyFont="1" applyFill="1" applyBorder="1" applyAlignment="1" applyProtection="1">
      <alignment vertical="top"/>
      <protection/>
    </xf>
    <xf numFmtId="0" fontId="0" fillId="0" borderId="43" xfId="0" applyFill="1" applyBorder="1" applyAlignment="1" applyProtection="1">
      <alignment vertical="top"/>
      <protection/>
    </xf>
    <xf numFmtId="0" fontId="0" fillId="0" borderId="44" xfId="0" applyFill="1" applyBorder="1" applyAlignment="1" applyProtection="1">
      <alignment vertical="top"/>
      <protection/>
    </xf>
    <xf numFmtId="0" fontId="90" fillId="0" borderId="44" xfId="0" applyFont="1" applyFill="1" applyBorder="1" applyAlignment="1" applyProtection="1">
      <alignment vertical="center" wrapText="1"/>
      <protection/>
    </xf>
    <xf numFmtId="0" fontId="91" fillId="0" borderId="24" xfId="0" applyFont="1" applyFill="1" applyBorder="1" applyAlignment="1" applyProtection="1">
      <alignment/>
      <protection/>
    </xf>
    <xf numFmtId="0" fontId="91" fillId="0" borderId="16" xfId="0" applyFont="1" applyFill="1" applyBorder="1" applyAlignment="1" applyProtection="1">
      <alignment/>
      <protection/>
    </xf>
    <xf numFmtId="0" fontId="91" fillId="0" borderId="22" xfId="0" applyFont="1" applyFill="1" applyBorder="1" applyAlignment="1" applyProtection="1">
      <alignment/>
      <protection/>
    </xf>
    <xf numFmtId="0" fontId="91" fillId="0" borderId="38" xfId="0" applyFont="1" applyFill="1" applyBorder="1" applyAlignment="1" applyProtection="1">
      <alignment/>
      <protection/>
    </xf>
    <xf numFmtId="0" fontId="91" fillId="0" borderId="26" xfId="0" applyFont="1" applyFill="1" applyBorder="1" applyAlignment="1" applyProtection="1">
      <alignment/>
      <protection/>
    </xf>
    <xf numFmtId="0" fontId="3" fillId="0" borderId="22" xfId="0" applyFont="1" applyFill="1" applyBorder="1" applyAlignment="1" applyProtection="1">
      <alignment vertical="center" wrapText="1"/>
      <protection/>
    </xf>
    <xf numFmtId="0" fontId="0" fillId="0" borderId="22" xfId="0" applyFill="1" applyBorder="1" applyAlignment="1" applyProtection="1">
      <alignment vertical="center"/>
      <protection/>
    </xf>
    <xf numFmtId="0" fontId="0" fillId="0" borderId="52" xfId="0" applyFill="1" applyBorder="1" applyAlignment="1" applyProtection="1">
      <alignment/>
      <protection/>
    </xf>
    <xf numFmtId="0" fontId="0" fillId="0" borderId="53" xfId="0" applyFill="1" applyBorder="1" applyAlignment="1" applyProtection="1">
      <alignment/>
      <protection/>
    </xf>
    <xf numFmtId="0" fontId="0" fillId="0" borderId="25" xfId="0" applyFill="1" applyBorder="1" applyAlignment="1" applyProtection="1">
      <alignment/>
      <protection/>
    </xf>
    <xf numFmtId="0" fontId="0" fillId="0" borderId="16" xfId="0" applyFill="1" applyBorder="1" applyAlignment="1" applyProtection="1">
      <alignment/>
      <protection/>
    </xf>
    <xf numFmtId="0" fontId="0" fillId="0" borderId="22" xfId="0" applyFill="1" applyBorder="1" applyAlignment="1" applyProtection="1">
      <alignment/>
      <protection/>
    </xf>
    <xf numFmtId="0" fontId="0" fillId="0" borderId="18" xfId="0" applyFill="1" applyBorder="1" applyAlignment="1" applyProtection="1">
      <alignment/>
      <protection/>
    </xf>
    <xf numFmtId="0" fontId="0" fillId="0" borderId="23" xfId="0" applyFill="1" applyBorder="1" applyAlignment="1" applyProtection="1">
      <alignment/>
      <protection/>
    </xf>
    <xf numFmtId="0" fontId="0" fillId="0" borderId="21" xfId="0" applyFill="1" applyBorder="1" applyAlignment="1" applyProtection="1">
      <alignment/>
      <protection/>
    </xf>
    <xf numFmtId="0" fontId="3" fillId="0" borderId="13"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0" fillId="0" borderId="21" xfId="0" applyFont="1" applyBorder="1" applyAlignment="1" applyProtection="1">
      <alignment wrapText="1"/>
      <protection/>
    </xf>
    <xf numFmtId="0" fontId="1" fillId="0" borderId="64" xfId="0" applyFont="1" applyFill="1" applyBorder="1" applyAlignment="1" applyProtection="1">
      <alignment wrapText="1"/>
      <protection/>
    </xf>
    <xf numFmtId="0" fontId="1" fillId="0" borderId="16" xfId="0" applyFont="1" applyFill="1" applyBorder="1" applyAlignment="1" applyProtection="1">
      <alignment wrapText="1"/>
      <protection/>
    </xf>
    <xf numFmtId="0" fontId="1" fillId="0" borderId="38" xfId="0" applyFont="1" applyFill="1" applyBorder="1" applyAlignment="1" applyProtection="1">
      <alignment horizontal="center" vertical="center"/>
      <protection/>
    </xf>
    <xf numFmtId="0" fontId="1" fillId="0" borderId="43" xfId="0" applyFont="1" applyFill="1" applyBorder="1" applyAlignment="1" applyProtection="1">
      <alignment horizontal="center" vertical="center"/>
      <protection/>
    </xf>
    <xf numFmtId="0" fontId="1" fillId="0" borderId="38" xfId="0" applyFont="1" applyFill="1" applyBorder="1" applyAlignment="1" applyProtection="1">
      <alignment vertical="center"/>
      <protection/>
    </xf>
    <xf numFmtId="0" fontId="1" fillId="0" borderId="35" xfId="0" applyFont="1" applyFill="1" applyBorder="1" applyAlignment="1" applyProtection="1">
      <alignment horizontal="left"/>
      <protection/>
    </xf>
    <xf numFmtId="0" fontId="1" fillId="0" borderId="36" xfId="0" applyFont="1" applyFill="1" applyBorder="1" applyAlignment="1" applyProtection="1">
      <alignment horizontal="left"/>
      <protection/>
    </xf>
    <xf numFmtId="0" fontId="1" fillId="0" borderId="35" xfId="0" applyFont="1" applyFill="1" applyBorder="1" applyAlignment="1" applyProtection="1">
      <alignment/>
      <protection/>
    </xf>
    <xf numFmtId="0" fontId="1" fillId="0" borderId="36" xfId="0" applyFont="1" applyFill="1" applyBorder="1" applyAlignment="1" applyProtection="1">
      <alignment/>
      <protection/>
    </xf>
    <xf numFmtId="0" fontId="0" fillId="0" borderId="16" xfId="0" applyFont="1" applyFill="1" applyBorder="1" applyAlignment="1" applyProtection="1">
      <alignment/>
      <protection/>
    </xf>
    <xf numFmtId="0" fontId="1" fillId="0" borderId="35" xfId="0" applyFont="1" applyFill="1" applyBorder="1" applyAlignment="1">
      <alignment horizontal="left" wrapText="1"/>
    </xf>
    <xf numFmtId="0" fontId="1" fillId="0" borderId="11" xfId="0" applyFont="1" applyFill="1" applyBorder="1" applyAlignment="1">
      <alignment horizontal="left" wrapText="1"/>
    </xf>
    <xf numFmtId="0" fontId="1" fillId="0" borderId="36" xfId="0" applyFont="1" applyFill="1" applyBorder="1" applyAlignment="1">
      <alignment horizontal="left" wrapText="1"/>
    </xf>
    <xf numFmtId="0" fontId="1" fillId="0" borderId="26"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64" xfId="0" applyFont="1" applyFill="1" applyBorder="1" applyAlignment="1">
      <alignment horizontal="left" wrapText="1"/>
    </xf>
    <xf numFmtId="0" fontId="1" fillId="0" borderId="26" xfId="0" applyFont="1" applyFill="1" applyBorder="1" applyAlignment="1">
      <alignment horizontal="left" wrapText="1"/>
    </xf>
    <xf numFmtId="0" fontId="1" fillId="0" borderId="29" xfId="0" applyFont="1" applyFill="1" applyBorder="1" applyAlignment="1">
      <alignment horizontal="left" wrapText="1"/>
    </xf>
    <xf numFmtId="0" fontId="1" fillId="0" borderId="24" xfId="0" applyFont="1" applyFill="1" applyBorder="1" applyAlignment="1">
      <alignment horizontal="left" wrapText="1"/>
    </xf>
    <xf numFmtId="0" fontId="1" fillId="0" borderId="26"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38"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63" xfId="0" applyFont="1" applyFill="1" applyBorder="1" applyAlignment="1">
      <alignment horizontal="left" vertical="center" wrapText="1"/>
    </xf>
    <xf numFmtId="0" fontId="1" fillId="0" borderId="22" xfId="0" applyFont="1" applyFill="1" applyBorder="1" applyAlignment="1">
      <alignment horizontal="left" wrapText="1"/>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8" fillId="33" borderId="39" xfId="0" applyFont="1" applyFill="1" applyBorder="1" applyAlignment="1">
      <alignment wrapText="1"/>
    </xf>
    <xf numFmtId="0" fontId="0" fillId="33" borderId="39" xfId="0" applyFill="1" applyBorder="1" applyAlignment="1">
      <alignment wrapText="1"/>
    </xf>
    <xf numFmtId="0" fontId="1" fillId="0" borderId="16" xfId="0" applyFont="1" applyBorder="1" applyAlignment="1">
      <alignment horizontal="left" vertical="center" wrapText="1"/>
    </xf>
    <xf numFmtId="0" fontId="1" fillId="0" borderId="65" xfId="0" applyFont="1" applyBorder="1" applyAlignment="1">
      <alignment horizontal="left" wrapText="1"/>
    </xf>
    <xf numFmtId="0" fontId="1" fillId="0" borderId="47" xfId="0" applyFont="1" applyBorder="1" applyAlignment="1">
      <alignment horizontal="left" wrapText="1"/>
    </xf>
    <xf numFmtId="0" fontId="1" fillId="0" borderId="48" xfId="0" applyFont="1" applyBorder="1" applyAlignment="1">
      <alignment horizontal="left" wrapText="1"/>
    </xf>
    <xf numFmtId="0" fontId="1" fillId="0" borderId="35" xfId="0" applyFont="1" applyBorder="1" applyAlignment="1">
      <alignment horizontal="left" wrapText="1"/>
    </xf>
    <xf numFmtId="0" fontId="1" fillId="0" borderId="11" xfId="0" applyFont="1" applyBorder="1" applyAlignment="1">
      <alignment horizontal="left" wrapText="1"/>
    </xf>
    <xf numFmtId="0" fontId="1" fillId="0" borderId="36" xfId="0" applyFont="1" applyBorder="1" applyAlignment="1">
      <alignment horizontal="left" wrapText="1"/>
    </xf>
    <xf numFmtId="0" fontId="3" fillId="0" borderId="66"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45" xfId="0" applyFont="1" applyBorder="1" applyAlignment="1">
      <alignment horizontal="center" vertical="center" wrapText="1"/>
    </xf>
    <xf numFmtId="0" fontId="1" fillId="0" borderId="64"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horizontal="left" wrapText="1"/>
    </xf>
    <xf numFmtId="0" fontId="1" fillId="0" borderId="35" xfId="0" applyFont="1" applyFill="1" applyBorder="1" applyAlignment="1">
      <alignment horizontal="left"/>
    </xf>
    <xf numFmtId="0" fontId="1" fillId="0" borderId="11" xfId="0" applyFont="1" applyFill="1" applyBorder="1" applyAlignment="1">
      <alignment horizontal="left"/>
    </xf>
    <xf numFmtId="0" fontId="1" fillId="0" borderId="36" xfId="0" applyFont="1" applyFill="1" applyBorder="1" applyAlignment="1">
      <alignment horizontal="left"/>
    </xf>
    <xf numFmtId="0" fontId="1" fillId="0" borderId="35" xfId="0" applyFont="1" applyFill="1" applyBorder="1" applyAlignment="1">
      <alignment horizontal="center" wrapText="1"/>
    </xf>
    <xf numFmtId="0" fontId="1" fillId="0" borderId="11" xfId="0" applyFont="1" applyFill="1" applyBorder="1" applyAlignment="1">
      <alignment horizontal="center" wrapText="1"/>
    </xf>
    <xf numFmtId="0" fontId="1" fillId="0" borderId="36" xfId="0" applyFont="1" applyFill="1" applyBorder="1" applyAlignment="1">
      <alignment horizontal="center" wrapText="1"/>
    </xf>
    <xf numFmtId="0" fontId="1" fillId="0" borderId="38" xfId="0" applyFont="1" applyFill="1" applyBorder="1" applyAlignment="1">
      <alignment horizontal="center" wrapText="1"/>
    </xf>
    <xf numFmtId="0" fontId="1" fillId="0" borderId="43" xfId="0" applyFont="1" applyFill="1" applyBorder="1" applyAlignment="1">
      <alignment horizontal="center" wrapText="1"/>
    </xf>
    <xf numFmtId="0" fontId="1" fillId="0" borderId="44" xfId="0" applyFont="1" applyFill="1" applyBorder="1" applyAlignment="1">
      <alignment horizontal="center" wrapText="1"/>
    </xf>
    <xf numFmtId="0" fontId="1" fillId="0" borderId="43" xfId="0" applyFont="1" applyFill="1" applyBorder="1" applyAlignment="1" applyProtection="1">
      <alignment vertical="center" wrapText="1"/>
      <protection/>
    </xf>
    <xf numFmtId="0" fontId="1" fillId="0" borderId="44" xfId="0" applyFont="1" applyFill="1" applyBorder="1" applyAlignment="1" applyProtection="1">
      <alignment vertical="center" wrapText="1"/>
      <protection/>
    </xf>
    <xf numFmtId="0" fontId="5" fillId="0" borderId="39" xfId="0" applyFont="1" applyBorder="1" applyAlignment="1" applyProtection="1">
      <alignment wrapText="1"/>
      <protection/>
    </xf>
    <xf numFmtId="0" fontId="0" fillId="0" borderId="39" xfId="0" applyBorder="1" applyAlignment="1" applyProtection="1">
      <alignment wrapText="1"/>
      <protection/>
    </xf>
    <xf numFmtId="0" fontId="1" fillId="0" borderId="16" xfId="0" applyFont="1" applyFill="1" applyBorder="1" applyAlignment="1" applyProtection="1">
      <alignment vertical="center"/>
      <protection/>
    </xf>
    <xf numFmtId="0" fontId="0" fillId="0" borderId="16" xfId="0" applyFill="1" applyBorder="1" applyAlignment="1" applyProtection="1">
      <alignment vertical="center"/>
      <protection/>
    </xf>
    <xf numFmtId="0" fontId="1" fillId="0" borderId="63" xfId="0" applyFont="1" applyFill="1" applyBorder="1" applyAlignment="1" applyProtection="1">
      <alignment vertical="center" wrapText="1"/>
      <protection/>
    </xf>
    <xf numFmtId="0" fontId="1" fillId="0" borderId="26" xfId="0" applyFont="1" applyFill="1" applyBorder="1" applyAlignment="1" applyProtection="1">
      <alignment horizontal="center" wrapText="1"/>
      <protection/>
    </xf>
    <xf numFmtId="0" fontId="1" fillId="0" borderId="29" xfId="0" applyFont="1" applyFill="1" applyBorder="1" applyAlignment="1" applyProtection="1">
      <alignment horizontal="center" wrapText="1"/>
      <protection/>
    </xf>
    <xf numFmtId="0" fontId="1" fillId="0" borderId="24" xfId="0" applyFont="1" applyFill="1" applyBorder="1" applyAlignment="1" applyProtection="1">
      <alignment horizontal="center" wrapText="1"/>
      <protection/>
    </xf>
    <xf numFmtId="0" fontId="5" fillId="0" borderId="39" xfId="0" applyFont="1" applyFill="1" applyBorder="1" applyAlignment="1" applyProtection="1">
      <alignment wrapText="1"/>
      <protection/>
    </xf>
    <xf numFmtId="0" fontId="0" fillId="0" borderId="39" xfId="0" applyFont="1" applyFill="1" applyBorder="1" applyAlignment="1" applyProtection="1">
      <alignment wrapText="1"/>
      <protection/>
    </xf>
    <xf numFmtId="0" fontId="5" fillId="0" borderId="49" xfId="0" applyFont="1" applyFill="1" applyBorder="1" applyAlignment="1" applyProtection="1">
      <alignment horizontal="center" vertical="center" wrapText="1"/>
      <protection/>
    </xf>
    <xf numFmtId="0" fontId="5" fillId="0" borderId="50" xfId="0" applyFont="1" applyFill="1" applyBorder="1" applyAlignment="1" applyProtection="1">
      <alignment horizontal="center" vertical="center" wrapText="1"/>
      <protection/>
    </xf>
    <xf numFmtId="0" fontId="0" fillId="0" borderId="50" xfId="0" applyFill="1" applyBorder="1" applyAlignment="1" applyProtection="1">
      <alignment wrapText="1"/>
      <protection/>
    </xf>
    <xf numFmtId="0" fontId="0" fillId="0" borderId="45" xfId="0" applyFill="1" applyBorder="1" applyAlignment="1" applyProtection="1">
      <alignment/>
      <protection/>
    </xf>
    <xf numFmtId="0" fontId="3" fillId="0" borderId="15" xfId="0" applyFont="1" applyFill="1" applyBorder="1" applyAlignment="1" applyProtection="1">
      <alignment vertical="center" wrapText="1"/>
      <protection/>
    </xf>
    <xf numFmtId="0" fontId="1" fillId="0" borderId="46" xfId="0" applyFont="1" applyFill="1" applyBorder="1" applyAlignment="1" applyProtection="1">
      <alignment wrapText="1"/>
      <protection/>
    </xf>
    <xf numFmtId="0" fontId="1" fillId="0" borderId="47" xfId="0" applyFont="1" applyFill="1" applyBorder="1" applyAlignment="1" applyProtection="1">
      <alignment wrapText="1"/>
      <protection/>
    </xf>
    <xf numFmtId="0" fontId="0" fillId="0" borderId="48" xfId="0" applyFill="1" applyBorder="1" applyAlignment="1" applyProtection="1">
      <alignment/>
      <protection/>
    </xf>
    <xf numFmtId="0" fontId="0" fillId="0" borderId="36" xfId="0" applyFill="1" applyBorder="1" applyAlignment="1" applyProtection="1">
      <alignment/>
      <protection/>
    </xf>
    <xf numFmtId="0" fontId="1" fillId="0" borderId="11" xfId="0" applyFont="1" applyFill="1" applyBorder="1" applyAlignment="1" applyProtection="1">
      <alignment/>
      <protection/>
    </xf>
    <xf numFmtId="0" fontId="0" fillId="0" borderId="11" xfId="0" applyFont="1" applyFill="1" applyBorder="1" applyAlignment="1" applyProtection="1">
      <alignment/>
      <protection/>
    </xf>
    <xf numFmtId="0" fontId="1" fillId="0" borderId="22" xfId="0" applyFont="1" applyFill="1" applyBorder="1" applyAlignment="1" applyProtection="1">
      <alignment horizontal="center" vertical="center"/>
      <protection/>
    </xf>
    <xf numFmtId="0" fontId="0" fillId="0" borderId="23" xfId="0" applyFill="1" applyBorder="1" applyAlignment="1" applyProtection="1">
      <alignment vertical="center"/>
      <protection/>
    </xf>
    <xf numFmtId="0" fontId="0" fillId="0" borderId="22" xfId="0" applyFill="1" applyBorder="1" applyAlignment="1" applyProtection="1">
      <alignment horizontal="left" vertical="center"/>
      <protection/>
    </xf>
    <xf numFmtId="0" fontId="0" fillId="0" borderId="39" xfId="0" applyFill="1" applyBorder="1" applyAlignment="1" applyProtection="1">
      <alignment wrapText="1"/>
      <protection/>
    </xf>
    <xf numFmtId="0" fontId="0" fillId="0" borderId="22" xfId="0" applyFill="1" applyBorder="1" applyAlignment="1" applyProtection="1">
      <alignment wrapText="1"/>
      <protection/>
    </xf>
    <xf numFmtId="0" fontId="0" fillId="0" borderId="16" xfId="0" applyFill="1" applyBorder="1" applyAlignment="1" applyProtection="1">
      <alignment horizontal="left" vertical="center"/>
      <protection/>
    </xf>
    <xf numFmtId="0" fontId="0" fillId="0" borderId="18" xfId="0" applyFill="1" applyBorder="1" applyAlignment="1" applyProtection="1">
      <alignment horizontal="left" vertical="center"/>
      <protection/>
    </xf>
    <xf numFmtId="0" fontId="1" fillId="0" borderId="22" xfId="0" applyFont="1" applyFill="1" applyBorder="1" applyAlignment="1" applyProtection="1">
      <alignment horizontal="center" vertical="center" wrapText="1"/>
      <protection/>
    </xf>
    <xf numFmtId="0" fontId="1" fillId="0" borderId="22" xfId="0" applyFont="1" applyFill="1" applyBorder="1" applyAlignment="1" applyProtection="1">
      <alignment horizontal="left" vertical="center" wrapText="1"/>
      <protection/>
    </xf>
    <xf numFmtId="0" fontId="1" fillId="0" borderId="23" xfId="0" applyFont="1" applyFill="1" applyBorder="1" applyAlignment="1" applyProtection="1">
      <alignment horizontal="center" vertical="center" wrapText="1"/>
      <protection/>
    </xf>
    <xf numFmtId="0" fontId="1" fillId="0" borderId="23" xfId="0" applyFont="1" applyFill="1" applyBorder="1" applyAlignment="1" applyProtection="1">
      <alignment horizontal="left" vertical="center" wrapText="1"/>
      <protection/>
    </xf>
    <xf numFmtId="0" fontId="5" fillId="0" borderId="13" xfId="0" applyFont="1" applyFill="1" applyBorder="1" applyAlignment="1" applyProtection="1">
      <alignment horizontal="center" wrapText="1"/>
      <protection/>
    </xf>
    <xf numFmtId="0" fontId="5" fillId="0" borderId="21" xfId="0" applyFont="1" applyFill="1" applyBorder="1" applyAlignment="1" applyProtection="1">
      <alignment horizontal="center" wrapText="1"/>
      <protection/>
    </xf>
    <xf numFmtId="0" fontId="3" fillId="0" borderId="15" xfId="0" applyFont="1" applyFill="1" applyBorder="1" applyAlignment="1" applyProtection="1">
      <alignment horizontal="left" vertical="center" wrapText="1"/>
      <protection/>
    </xf>
    <xf numFmtId="0" fontId="1" fillId="0" borderId="16" xfId="0" applyFont="1" applyFill="1" applyBorder="1" applyAlignment="1" applyProtection="1">
      <alignment horizontal="left" vertical="center"/>
      <protection/>
    </xf>
    <xf numFmtId="0" fontId="1" fillId="0" borderId="25" xfId="0" applyFont="1" applyFill="1" applyBorder="1" applyAlignment="1" applyProtection="1">
      <alignment horizontal="left" vertical="center" wrapText="1"/>
      <protection/>
    </xf>
    <xf numFmtId="0" fontId="3" fillId="0" borderId="16" xfId="0" applyFont="1" applyFill="1" applyBorder="1" applyAlignment="1" applyProtection="1">
      <alignment horizontal="left" vertical="center" wrapText="1"/>
      <protection/>
    </xf>
    <xf numFmtId="0" fontId="3" fillId="0" borderId="18" xfId="0" applyFont="1" applyFill="1" applyBorder="1" applyAlignment="1" applyProtection="1">
      <alignment horizontal="left" vertical="center" wrapText="1"/>
      <protection/>
    </xf>
    <xf numFmtId="0" fontId="1" fillId="0" borderId="23" xfId="0" applyFont="1" applyFill="1" applyBorder="1" applyAlignment="1" applyProtection="1">
      <alignment horizontal="left" vertical="center"/>
      <protection/>
    </xf>
    <xf numFmtId="0" fontId="5" fillId="0" borderId="56" xfId="0" applyFont="1" applyFill="1" applyBorder="1" applyAlignment="1" applyProtection="1">
      <alignment horizontal="center"/>
      <protection/>
    </xf>
    <xf numFmtId="0" fontId="5" fillId="0" borderId="28" xfId="0" applyFont="1" applyFill="1" applyBorder="1" applyAlignment="1" applyProtection="1">
      <alignment horizontal="center"/>
      <protection/>
    </xf>
    <xf numFmtId="0" fontId="1" fillId="0" borderId="15" xfId="0" applyFont="1" applyFill="1" applyBorder="1" applyAlignment="1" applyProtection="1">
      <alignment wrapText="1"/>
      <protection/>
    </xf>
    <xf numFmtId="0" fontId="1" fillId="0" borderId="18" xfId="0" applyFont="1" applyFill="1" applyBorder="1" applyAlignment="1" applyProtection="1">
      <alignment wrapText="1"/>
      <protection/>
    </xf>
    <xf numFmtId="0" fontId="1" fillId="0" borderId="44" xfId="0" applyFont="1" applyFill="1" applyBorder="1" applyAlignment="1" applyProtection="1">
      <alignment vertical="center"/>
      <protection/>
    </xf>
    <xf numFmtId="0" fontId="1" fillId="0" borderId="0" xfId="0" applyFont="1" applyFill="1" applyAlignment="1" applyProtection="1">
      <alignment horizontal="center"/>
      <protection locked="0"/>
    </xf>
    <xf numFmtId="0" fontId="0" fillId="0" borderId="0" xfId="0" applyFill="1" applyAlignment="1" applyProtection="1">
      <alignment/>
      <protection locked="0"/>
    </xf>
    <xf numFmtId="0" fontId="1" fillId="0" borderId="0" xfId="0" applyFont="1" applyFill="1" applyAlignment="1" applyProtection="1">
      <alignment/>
      <protection locked="0"/>
    </xf>
    <xf numFmtId="0" fontId="92" fillId="0" borderId="64" xfId="0" applyFont="1" applyFill="1" applyBorder="1" applyAlignment="1" applyProtection="1">
      <alignment horizontal="left" wrapText="1"/>
      <protection/>
    </xf>
    <xf numFmtId="0" fontId="92" fillId="0" borderId="36" xfId="0" applyFont="1" applyFill="1" applyBorder="1" applyAlignment="1" applyProtection="1">
      <alignment horizontal="left" wrapText="1"/>
      <protection/>
    </xf>
    <xf numFmtId="49" fontId="26" fillId="0" borderId="0" xfId="0" applyNumberFormat="1" applyFont="1" applyFill="1" applyAlignment="1" applyProtection="1">
      <alignment vertical="center" wrapText="1"/>
      <protection locked="0"/>
    </xf>
    <xf numFmtId="0" fontId="0" fillId="0" borderId="0" xfId="0" applyFill="1" applyAlignment="1" applyProtection="1">
      <alignment vertical="center"/>
      <protection locked="0"/>
    </xf>
    <xf numFmtId="0" fontId="3" fillId="0" borderId="0" xfId="0" applyFont="1" applyFill="1" applyAlignment="1" applyProtection="1">
      <alignmen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http://pro.nais.lv/naiser/text.cfm?Ref=0101032010040600338&amp;Req=0101032010040600338&amp;Key=0103012002103132805&amp;Hash="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46"/>
  <sheetViews>
    <sheetView tabSelected="1" zoomScale="120" zoomScaleNormal="120" zoomScalePageLayoutView="0" workbookViewId="0" topLeftCell="A7">
      <selection activeCell="A39" sqref="A39:B39"/>
    </sheetView>
  </sheetViews>
  <sheetFormatPr defaultColWidth="9.140625" defaultRowHeight="12.75"/>
  <cols>
    <col min="1" max="1" width="17.00390625" style="0" customWidth="1"/>
    <col min="2" max="2" width="36.7109375" style="0" customWidth="1"/>
    <col min="3" max="3" width="6.8515625" style="0" customWidth="1"/>
    <col min="4" max="4" width="19.140625" style="0" customWidth="1"/>
    <col min="5" max="5" width="21.140625" style="0" customWidth="1"/>
  </cols>
  <sheetData>
    <row r="1" spans="1:5" ht="12.75">
      <c r="A1" s="1"/>
      <c r="B1" s="1"/>
      <c r="C1" s="1"/>
      <c r="D1" s="1" t="s">
        <v>0</v>
      </c>
      <c r="E1" s="2"/>
    </row>
    <row r="2" spans="1:5" ht="12.75">
      <c r="A2" s="1"/>
      <c r="B2" s="1"/>
      <c r="C2" s="1"/>
      <c r="D2" s="1"/>
      <c r="E2" s="1"/>
    </row>
    <row r="3" spans="1:5" ht="12.75">
      <c r="A3" s="3"/>
      <c r="B3" s="1"/>
      <c r="C3" s="1"/>
      <c r="D3" s="1"/>
      <c r="E3" s="4" t="s">
        <v>10</v>
      </c>
    </row>
    <row r="4" spans="1:5" ht="12.75">
      <c r="A4" s="5"/>
      <c r="B4" s="1"/>
      <c r="C4" s="1"/>
      <c r="D4" s="1"/>
      <c r="E4" s="4" t="s">
        <v>1</v>
      </c>
    </row>
    <row r="5" spans="1:5" ht="12.75">
      <c r="A5" s="5"/>
      <c r="B5" s="1"/>
      <c r="C5" s="408" t="s">
        <v>937</v>
      </c>
      <c r="D5" s="409"/>
      <c r="E5" s="409"/>
    </row>
    <row r="6" spans="1:5" ht="12.75">
      <c r="A6" s="5"/>
      <c r="B6" s="1"/>
      <c r="C6" s="1"/>
      <c r="D6" s="1"/>
      <c r="E6" s="6"/>
    </row>
    <row r="7" spans="1:5" ht="12.75">
      <c r="A7" s="5"/>
      <c r="B7" s="1"/>
      <c r="C7" s="1"/>
      <c r="D7" s="6"/>
      <c r="E7" s="1"/>
    </row>
    <row r="8" spans="1:5" ht="12.75">
      <c r="A8" s="1" t="s">
        <v>2</v>
      </c>
      <c r="B8" s="1"/>
      <c r="C8" s="1"/>
      <c r="D8" s="410"/>
      <c r="E8" s="410"/>
    </row>
    <row r="10" spans="1:5" ht="18.75">
      <c r="A10" s="411" t="s">
        <v>15</v>
      </c>
      <c r="B10" s="407"/>
      <c r="C10" s="407"/>
      <c r="D10" s="407"/>
      <c r="E10" s="407"/>
    </row>
    <row r="11" spans="1:5" ht="18.75">
      <c r="A11" s="406" t="s">
        <v>938</v>
      </c>
      <c r="B11" s="407"/>
      <c r="C11" s="407"/>
      <c r="D11" s="407"/>
      <c r="E11" s="407"/>
    </row>
    <row r="12" spans="1:5" ht="12.75">
      <c r="A12" s="1"/>
      <c r="B12" s="1"/>
      <c r="E12" s="1"/>
    </row>
    <row r="14" spans="1:5" ht="14.25">
      <c r="A14" s="7" t="s">
        <v>11</v>
      </c>
      <c r="B14" s="7"/>
      <c r="C14" s="7"/>
      <c r="D14" s="1" t="s">
        <v>3</v>
      </c>
      <c r="E14" s="7"/>
    </row>
    <row r="15" spans="1:5" ht="14.25">
      <c r="A15" s="8" t="s">
        <v>1319</v>
      </c>
      <c r="B15" s="9"/>
      <c r="C15" s="10"/>
      <c r="D15" s="3" t="s">
        <v>4</v>
      </c>
      <c r="E15" s="10"/>
    </row>
    <row r="16" ht="12.75">
      <c r="D16" s="5" t="s">
        <v>5</v>
      </c>
    </row>
    <row r="17" spans="1:5" ht="13.5">
      <c r="A17" s="3"/>
      <c r="B17" s="11"/>
      <c r="C17" s="11"/>
      <c r="D17" s="5" t="s">
        <v>804</v>
      </c>
      <c r="E17" s="11"/>
    </row>
    <row r="18" spans="1:5" ht="13.5">
      <c r="A18" s="1"/>
      <c r="B18" s="11"/>
      <c r="C18" s="11"/>
      <c r="D18" s="11"/>
      <c r="E18" s="11"/>
    </row>
    <row r="19" spans="1:5" ht="13.5">
      <c r="A19" s="3"/>
      <c r="B19" s="12"/>
      <c r="C19" s="1"/>
      <c r="D19" s="1"/>
      <c r="E19" s="1"/>
    </row>
    <row r="20" spans="1:5" ht="12.75">
      <c r="A20" s="1"/>
      <c r="B20" s="1"/>
      <c r="C20" s="1"/>
      <c r="D20" s="1"/>
      <c r="E20" s="1"/>
    </row>
    <row r="21" spans="1:5" ht="25.5">
      <c r="A21" s="398" t="s">
        <v>12</v>
      </c>
      <c r="B21" s="398"/>
      <c r="C21" s="398"/>
      <c r="D21" s="398"/>
      <c r="E21" s="398"/>
    </row>
    <row r="22" spans="1:5" ht="25.5">
      <c r="A22" s="398" t="s">
        <v>13</v>
      </c>
      <c r="B22" s="398"/>
      <c r="C22" s="398"/>
      <c r="D22" s="398"/>
      <c r="E22" s="398"/>
    </row>
    <row r="23" spans="1:5" ht="25.5">
      <c r="A23" s="398"/>
      <c r="B23" s="398"/>
      <c r="C23" s="398"/>
      <c r="D23" s="398"/>
      <c r="E23" s="398"/>
    </row>
    <row r="24" spans="1:5" ht="25.5">
      <c r="A24" s="399" t="s">
        <v>940</v>
      </c>
      <c r="B24" s="399"/>
      <c r="C24" s="399"/>
      <c r="D24" s="399"/>
      <c r="E24" s="399"/>
    </row>
    <row r="26" spans="1:5" ht="15">
      <c r="A26" s="13" t="s">
        <v>6</v>
      </c>
      <c r="B26" s="14"/>
      <c r="C26" s="15"/>
      <c r="D26" s="204">
        <v>689</v>
      </c>
      <c r="E26" s="16"/>
    </row>
    <row r="27" spans="1:5" ht="15.75">
      <c r="A27" s="1"/>
      <c r="B27" s="412"/>
      <c r="C27" s="412"/>
      <c r="D27" s="412"/>
      <c r="E27" s="412"/>
    </row>
    <row r="28" spans="1:5" ht="15">
      <c r="A28" s="400" t="s">
        <v>14</v>
      </c>
      <c r="B28" s="401"/>
      <c r="C28" s="401"/>
      <c r="D28" s="401"/>
      <c r="E28" s="401"/>
    </row>
    <row r="29" spans="1:5" ht="15.75">
      <c r="A29" s="17"/>
      <c r="B29" s="402" t="s">
        <v>1337</v>
      </c>
      <c r="C29" s="403"/>
      <c r="D29" s="403"/>
      <c r="E29" s="403"/>
    </row>
    <row r="30" spans="1:5" ht="15">
      <c r="A30" s="413" t="s">
        <v>1336</v>
      </c>
      <c r="B30" s="414"/>
      <c r="C30" s="414"/>
      <c r="D30" s="414"/>
      <c r="E30" s="414"/>
    </row>
    <row r="31" spans="1:5" ht="15">
      <c r="A31" s="404" t="s">
        <v>7</v>
      </c>
      <c r="B31" s="405"/>
      <c r="C31" s="405"/>
      <c r="D31" s="405"/>
      <c r="E31" s="405"/>
    </row>
    <row r="32" spans="1:5" ht="15.75">
      <c r="A32" s="18"/>
      <c r="B32" s="402" t="s">
        <v>1338</v>
      </c>
      <c r="C32" s="402"/>
      <c r="D32" s="402"/>
      <c r="E32" s="19" t="s">
        <v>1339</v>
      </c>
    </row>
    <row r="33" spans="1:5" ht="15">
      <c r="A33" s="400" t="s">
        <v>1340</v>
      </c>
      <c r="B33" s="400"/>
      <c r="C33" s="20"/>
      <c r="D33" s="400" t="s">
        <v>9</v>
      </c>
      <c r="E33" s="401"/>
    </row>
    <row r="34" spans="1:5" ht="15">
      <c r="A34" s="404" t="s">
        <v>1341</v>
      </c>
      <c r="B34" s="405"/>
      <c r="C34" s="26"/>
      <c r="D34" s="404" t="s">
        <v>1342</v>
      </c>
      <c r="E34" s="405"/>
    </row>
    <row r="35" spans="1:5" ht="15">
      <c r="A35" s="34"/>
      <c r="B35" s="35"/>
      <c r="C35" s="26"/>
      <c r="D35" s="32"/>
      <c r="E35" s="33"/>
    </row>
    <row r="36" spans="1:5" ht="15">
      <c r="A36" s="400" t="s">
        <v>1344</v>
      </c>
      <c r="B36" s="401"/>
      <c r="C36" s="401"/>
      <c r="D36" s="401"/>
      <c r="E36" s="401"/>
    </row>
    <row r="37" spans="1:5" ht="15">
      <c r="A37" s="22"/>
      <c r="B37" s="23" t="s">
        <v>8</v>
      </c>
      <c r="C37" s="1"/>
      <c r="D37" s="24"/>
      <c r="E37" s="25"/>
    </row>
    <row r="38" spans="1:5" ht="15">
      <c r="A38" s="400" t="s">
        <v>1343</v>
      </c>
      <c r="B38" s="400"/>
      <c r="C38" s="20"/>
      <c r="D38" s="415"/>
      <c r="E38" s="416"/>
    </row>
    <row r="39" spans="1:3" ht="15">
      <c r="A39" s="404" t="s">
        <v>1345</v>
      </c>
      <c r="B39" s="405"/>
      <c r="C39" s="26"/>
    </row>
    <row r="40" spans="1:5" ht="15">
      <c r="A40" s="27"/>
      <c r="B40" s="28"/>
      <c r="C40" s="28"/>
      <c r="D40" s="28"/>
      <c r="E40" s="20"/>
    </row>
    <row r="41" spans="1:5" ht="15">
      <c r="A41" s="21"/>
      <c r="B41" s="29"/>
      <c r="C41" s="21"/>
      <c r="D41" s="1"/>
      <c r="E41" s="30"/>
    </row>
    <row r="42" spans="1:5" ht="15">
      <c r="A42" s="21"/>
      <c r="B42" s="21"/>
      <c r="C42" s="1"/>
      <c r="D42" s="21"/>
      <c r="E42" s="20"/>
    </row>
    <row r="43" spans="1:5" ht="15">
      <c r="A43" s="20"/>
      <c r="B43" s="21"/>
      <c r="C43" s="29"/>
      <c r="D43" s="31"/>
      <c r="E43" s="20"/>
    </row>
    <row r="44" spans="1:5" ht="15">
      <c r="A44" s="21"/>
      <c r="B44" s="29"/>
      <c r="C44" s="31"/>
      <c r="D44" s="21"/>
      <c r="E44" s="31"/>
    </row>
    <row r="45" spans="1:5" ht="12.75">
      <c r="A45" s="1"/>
      <c r="B45" s="21"/>
      <c r="C45" s="1"/>
      <c r="D45" s="1"/>
      <c r="E45" s="21"/>
    </row>
    <row r="46" spans="1:5" ht="12.75">
      <c r="A46" s="1"/>
      <c r="B46" s="1"/>
      <c r="C46" s="1"/>
      <c r="D46" s="1"/>
      <c r="E46" s="1"/>
    </row>
  </sheetData>
  <sheetProtection/>
  <mergeCells count="22">
    <mergeCell ref="D34:E34"/>
    <mergeCell ref="A34:B34"/>
    <mergeCell ref="B27:E27"/>
    <mergeCell ref="A28:E28"/>
    <mergeCell ref="A39:B39"/>
    <mergeCell ref="A30:E30"/>
    <mergeCell ref="B32:D32"/>
    <mergeCell ref="A36:E36"/>
    <mergeCell ref="A38:B38"/>
    <mergeCell ref="D38:E38"/>
    <mergeCell ref="A11:E11"/>
    <mergeCell ref="C5:E5"/>
    <mergeCell ref="D8:E8"/>
    <mergeCell ref="A10:E10"/>
    <mergeCell ref="A21:E21"/>
    <mergeCell ref="A22:E22"/>
    <mergeCell ref="A23:E23"/>
    <mergeCell ref="A24:E24"/>
    <mergeCell ref="A33:B33"/>
    <mergeCell ref="D33:E33"/>
    <mergeCell ref="B29:E29"/>
    <mergeCell ref="A31:E31"/>
  </mergeCells>
  <printOptions/>
  <pageMargins left="0.75" right="0.46" top="1" bottom="1" header="0.5" footer="0.5"/>
  <pageSetup horizontalDpi="1200" verticalDpi="1200" orientation="portrait" paperSize="9" scale="90" r:id="rId1"/>
  <headerFooter alignWithMargins="0">
    <oddFooter>&amp;R&amp;P</oddFooter>
  </headerFooter>
</worksheet>
</file>

<file path=xl/worksheets/sheet10.xml><?xml version="1.0" encoding="utf-8"?>
<worksheet xmlns="http://schemas.openxmlformats.org/spreadsheetml/2006/main" xmlns:r="http://schemas.openxmlformats.org/officeDocument/2006/relationships">
  <dimension ref="A1:S24"/>
  <sheetViews>
    <sheetView zoomScalePageLayoutView="0" workbookViewId="0" topLeftCell="A1">
      <selection activeCell="J11" sqref="J11"/>
    </sheetView>
  </sheetViews>
  <sheetFormatPr defaultColWidth="9.140625" defaultRowHeight="12.75"/>
  <cols>
    <col min="3" max="3" width="12.421875" style="0" customWidth="1"/>
    <col min="5" max="5" width="7.421875" style="0" customWidth="1"/>
    <col min="6" max="6" width="9.140625" style="99" customWidth="1"/>
    <col min="7" max="7" width="12.57421875" style="0" customWidth="1"/>
    <col min="8" max="8" width="11.00390625" style="0" customWidth="1"/>
    <col min="9" max="9" width="10.140625" style="0" customWidth="1"/>
    <col min="10" max="12" width="9.7109375" style="0" customWidth="1"/>
    <col min="13" max="13" width="9.8515625" style="0" customWidth="1"/>
    <col min="14" max="14" width="13.421875" style="0" customWidth="1"/>
    <col min="15" max="15" width="12.140625" style="0" customWidth="1"/>
    <col min="16" max="16" width="11.421875" style="0" customWidth="1"/>
    <col min="17" max="17" width="13.421875" style="0" customWidth="1"/>
    <col min="18" max="18" width="13.8515625" style="0" customWidth="1"/>
  </cols>
  <sheetData>
    <row r="1" ht="16.5" thickBot="1">
      <c r="A1" s="58" t="s">
        <v>174</v>
      </c>
    </row>
    <row r="2" spans="1:13" ht="12.75">
      <c r="A2" s="649" t="s">
        <v>124</v>
      </c>
      <c r="B2" s="641"/>
      <c r="C2" s="641"/>
      <c r="D2" s="650"/>
      <c r="E2" s="650"/>
      <c r="F2" s="646" t="s">
        <v>60</v>
      </c>
      <c r="G2" s="641" t="s">
        <v>61</v>
      </c>
      <c r="H2" s="641" t="s">
        <v>125</v>
      </c>
      <c r="I2" s="641" t="s">
        <v>126</v>
      </c>
      <c r="J2" s="641"/>
      <c r="K2" s="641"/>
      <c r="L2" s="641"/>
      <c r="M2" s="642"/>
    </row>
    <row r="3" spans="1:13" ht="23.25" customHeight="1">
      <c r="A3" s="651"/>
      <c r="B3" s="652"/>
      <c r="C3" s="652"/>
      <c r="D3" s="653"/>
      <c r="E3" s="653"/>
      <c r="F3" s="647"/>
      <c r="G3" s="643"/>
      <c r="H3" s="643"/>
      <c r="I3" s="643" t="s">
        <v>127</v>
      </c>
      <c r="J3" s="643" t="s">
        <v>128</v>
      </c>
      <c r="K3" s="643"/>
      <c r="L3" s="643" t="s">
        <v>129</v>
      </c>
      <c r="M3" s="645"/>
    </row>
    <row r="4" spans="1:13" ht="51.75" thickBot="1">
      <c r="A4" s="673"/>
      <c r="B4" s="674"/>
      <c r="C4" s="674"/>
      <c r="D4" s="675"/>
      <c r="E4" s="675"/>
      <c r="F4" s="676"/>
      <c r="G4" s="672"/>
      <c r="H4" s="672"/>
      <c r="I4" s="672"/>
      <c r="J4" s="72" t="s">
        <v>130</v>
      </c>
      <c r="K4" s="72" t="s">
        <v>131</v>
      </c>
      <c r="L4" s="72" t="s">
        <v>130</v>
      </c>
      <c r="M4" s="73" t="s">
        <v>131</v>
      </c>
    </row>
    <row r="5" spans="1:15" ht="26.25" customHeight="1">
      <c r="A5" s="668" t="s">
        <v>74</v>
      </c>
      <c r="B5" s="664" t="s">
        <v>175</v>
      </c>
      <c r="C5" s="460" t="s">
        <v>803</v>
      </c>
      <c r="D5" s="460"/>
      <c r="E5" s="460"/>
      <c r="F5" s="98" t="s">
        <v>369</v>
      </c>
      <c r="G5" s="71" t="s">
        <v>144</v>
      </c>
      <c r="H5" s="145">
        <v>0</v>
      </c>
      <c r="I5" s="145">
        <v>0</v>
      </c>
      <c r="J5" s="145">
        <v>0</v>
      </c>
      <c r="K5" s="145">
        <v>0</v>
      </c>
      <c r="L5" s="145">
        <v>0</v>
      </c>
      <c r="M5" s="146">
        <v>0</v>
      </c>
      <c r="O5" t="str">
        <f>IF(AND(SUM(H5:M5)&gt;0,OR(SUM(H10:M10)&gt;0,SUM(H12:M12)&gt;0,SUM(H14:M14)&gt;0,SUM(H16:M16)&gt;0,SUM(H18:M18)&gt;0)),"OK",IF(SUM(H5:M23)=0,"OK","Pārbaudi naudu, cilvēkus vai institūciju skaitu"))</f>
        <v>OK</v>
      </c>
    </row>
    <row r="6" spans="1:13" ht="12.75">
      <c r="A6" s="478"/>
      <c r="B6" s="665"/>
      <c r="C6" s="462" t="s">
        <v>138</v>
      </c>
      <c r="D6" s="462"/>
      <c r="E6" s="462"/>
      <c r="F6" s="92" t="s">
        <v>370</v>
      </c>
      <c r="G6" s="242" t="s">
        <v>931</v>
      </c>
      <c r="H6" s="119">
        <f aca="true" t="shared" si="0" ref="H6:M6">H10+H12+H14+H16+H18</f>
        <v>0</v>
      </c>
      <c r="I6" s="119">
        <f t="shared" si="0"/>
        <v>0</v>
      </c>
      <c r="J6" s="119">
        <f t="shared" si="0"/>
        <v>0</v>
      </c>
      <c r="K6" s="119">
        <f t="shared" si="0"/>
        <v>0</v>
      </c>
      <c r="L6" s="119">
        <f t="shared" si="0"/>
        <v>0</v>
      </c>
      <c r="M6" s="125">
        <f t="shared" si="0"/>
        <v>0</v>
      </c>
    </row>
    <row r="7" spans="1:19" ht="12.75">
      <c r="A7" s="478"/>
      <c r="B7" s="665"/>
      <c r="C7" s="466" t="s">
        <v>176</v>
      </c>
      <c r="D7" s="462" t="s">
        <v>65</v>
      </c>
      <c r="E7" s="468"/>
      <c r="F7" s="92" t="s">
        <v>371</v>
      </c>
      <c r="G7" s="63" t="s">
        <v>67</v>
      </c>
      <c r="H7" s="119">
        <f aca="true" t="shared" si="1" ref="H7:M7">H8+H9</f>
        <v>0</v>
      </c>
      <c r="I7" s="119">
        <f t="shared" si="1"/>
        <v>0</v>
      </c>
      <c r="J7" s="119">
        <f t="shared" si="1"/>
        <v>0</v>
      </c>
      <c r="K7" s="119">
        <f t="shared" si="1"/>
        <v>0</v>
      </c>
      <c r="L7" s="119">
        <f t="shared" si="1"/>
        <v>0</v>
      </c>
      <c r="M7" s="125">
        <f t="shared" si="1"/>
        <v>0</v>
      </c>
      <c r="N7" s="133" t="str">
        <f aca="true" t="shared" si="2" ref="N7:S7">IF(OR(H7&lt;H11,H7&lt;H13,H7&lt;H15,H7&lt;H17,H7&lt;H19),"Pārbaudi katra pakalpojuma veida saņēmēju skaitu","OK")</f>
        <v>OK</v>
      </c>
      <c r="O7" s="129" t="str">
        <f t="shared" si="2"/>
        <v>OK</v>
      </c>
      <c r="P7" s="129" t="str">
        <f t="shared" si="2"/>
        <v>OK</v>
      </c>
      <c r="Q7" s="129" t="str">
        <f t="shared" si="2"/>
        <v>OK</v>
      </c>
      <c r="R7" s="129" t="str">
        <f t="shared" si="2"/>
        <v>OK</v>
      </c>
      <c r="S7" s="129" t="str">
        <f t="shared" si="2"/>
        <v>OK</v>
      </c>
    </row>
    <row r="8" spans="1:13" ht="12.75">
      <c r="A8" s="478"/>
      <c r="B8" s="665"/>
      <c r="C8" s="466"/>
      <c r="D8" s="462" t="s">
        <v>142</v>
      </c>
      <c r="E8" s="468"/>
      <c r="F8" s="96" t="s">
        <v>372</v>
      </c>
      <c r="G8" s="63" t="s">
        <v>67</v>
      </c>
      <c r="H8" s="141">
        <v>0</v>
      </c>
      <c r="I8" s="141">
        <v>0</v>
      </c>
      <c r="J8" s="141">
        <v>0</v>
      </c>
      <c r="K8" s="141">
        <v>0</v>
      </c>
      <c r="L8" s="141">
        <v>0</v>
      </c>
      <c r="M8" s="142">
        <v>0</v>
      </c>
    </row>
    <row r="9" spans="1:13" ht="12.75">
      <c r="A9" s="478"/>
      <c r="B9" s="665"/>
      <c r="C9" s="466"/>
      <c r="D9" s="462" t="s">
        <v>143</v>
      </c>
      <c r="E9" s="468"/>
      <c r="F9" s="96" t="s">
        <v>373</v>
      </c>
      <c r="G9" s="63" t="s">
        <v>67</v>
      </c>
      <c r="H9" s="141">
        <v>0</v>
      </c>
      <c r="I9" s="141">
        <v>0</v>
      </c>
      <c r="J9" s="141">
        <v>0</v>
      </c>
      <c r="K9" s="141">
        <v>0</v>
      </c>
      <c r="L9" s="141">
        <v>0</v>
      </c>
      <c r="M9" s="142">
        <v>0</v>
      </c>
    </row>
    <row r="10" spans="1:13" ht="12.75">
      <c r="A10" s="470"/>
      <c r="B10" s="475" t="s">
        <v>74</v>
      </c>
      <c r="C10" s="466" t="s">
        <v>177</v>
      </c>
      <c r="D10" s="462" t="s">
        <v>138</v>
      </c>
      <c r="E10" s="468"/>
      <c r="F10" s="92" t="s">
        <v>780</v>
      </c>
      <c r="G10" s="242" t="s">
        <v>931</v>
      </c>
      <c r="H10" s="141">
        <v>0</v>
      </c>
      <c r="I10" s="141">
        <v>0</v>
      </c>
      <c r="J10" s="141">
        <v>0</v>
      </c>
      <c r="K10" s="141">
        <v>0</v>
      </c>
      <c r="L10" s="141">
        <v>0</v>
      </c>
      <c r="M10" s="142">
        <v>0</v>
      </c>
    </row>
    <row r="11" spans="1:19" ht="30" customHeight="1">
      <c r="A11" s="470"/>
      <c r="B11" s="665"/>
      <c r="C11" s="466"/>
      <c r="D11" s="462" t="s">
        <v>176</v>
      </c>
      <c r="E11" s="468"/>
      <c r="F11" s="92" t="s">
        <v>781</v>
      </c>
      <c r="G11" s="63" t="s">
        <v>67</v>
      </c>
      <c r="H11" s="141">
        <v>0</v>
      </c>
      <c r="I11" s="141">
        <v>0</v>
      </c>
      <c r="J11" s="141">
        <v>0</v>
      </c>
      <c r="K11" s="141">
        <v>0</v>
      </c>
      <c r="L11" s="141">
        <v>0</v>
      </c>
      <c r="M11" s="142">
        <v>0</v>
      </c>
      <c r="N11" s="238" t="str">
        <f>IF(AND(H10=0,H11=0),"OK",IF(H10&gt;0,IF(H11&gt;0,"OK","Pārbaudi H11"),"Pārbaudi H10"))</f>
        <v>OK</v>
      </c>
      <c r="O11" s="238" t="str">
        <f>IF(AND(I10=0,I11=0),"OK",IF(I10&gt;0,IF(I11&gt;0,"OK","Pārbaudi I11"),"Pārbaudi I10"))</f>
        <v>OK</v>
      </c>
      <c r="P11" s="238" t="str">
        <f>IF(AND(J10=0,J11=0),"OK",IF(J10&gt;0,IF(J11&gt;0,"OK","Pārbaudi J11"),"Pārbaudi J10"))</f>
        <v>OK</v>
      </c>
      <c r="Q11" s="238" t="str">
        <f>IF(AND(K10=0,K11=0),"OK",IF(K10&gt;0,IF(K11&gt;0,"OK","Pārbaudi K11"),"Pārbaudi K10"))</f>
        <v>OK</v>
      </c>
      <c r="R11" s="238" t="str">
        <f>IF(AND(L10=0,L11=0),"OK",IF(L10&gt;0,IF(L11&gt;0,"OK","Pārbaudi L11"),"Pārbaudi L10"))</f>
        <v>OK</v>
      </c>
      <c r="S11" s="238" t="str">
        <f>IF(AND(M10=0,M11=0),"OK",IF(M10&gt;0,IF(M11&gt;0,"OK","Pārbaudi M11"),"Pārbaudi M10"))</f>
        <v>OK</v>
      </c>
    </row>
    <row r="12" spans="1:19" ht="12.75">
      <c r="A12" s="669"/>
      <c r="B12" s="665"/>
      <c r="C12" s="462" t="s">
        <v>178</v>
      </c>
      <c r="D12" s="462" t="s">
        <v>138</v>
      </c>
      <c r="E12" s="468"/>
      <c r="F12" s="92" t="s">
        <v>782</v>
      </c>
      <c r="G12" s="242" t="s">
        <v>931</v>
      </c>
      <c r="H12" s="141">
        <v>0</v>
      </c>
      <c r="I12" s="141">
        <v>0</v>
      </c>
      <c r="J12" s="141">
        <v>0</v>
      </c>
      <c r="K12" s="141">
        <v>0</v>
      </c>
      <c r="L12" s="141">
        <v>0</v>
      </c>
      <c r="M12" s="142">
        <v>0</v>
      </c>
      <c r="N12" s="238" t="str">
        <f>IF(AND(H12=0,H13=0),"OK",IF(H12&gt;0,IF(H13&gt;0,"OK","Pārbaudi H13"),"Pārbaudi H12"))</f>
        <v>OK</v>
      </c>
      <c r="O12" s="238" t="str">
        <f>IF(AND(I12=0,I13=0),"OK",IF(I12&gt;0,IF(I13&gt;0,"OK","Pārbaudi I13"),"Pārbaudi I12"))</f>
        <v>OK</v>
      </c>
      <c r="P12" s="238" t="str">
        <f>IF(AND(J12=0,J13=0),"OK",IF(J12&gt;0,IF(J13&gt;0,"OK","Pārbaudi J13"),"Pārbaudi J12"))</f>
        <v>OK</v>
      </c>
      <c r="Q12" s="238" t="str">
        <f>IF(AND(K12=0,K13=0),"OK",IF(K12&gt;0,IF(K13&gt;0,"OK","Pārbaudi K13"),"Pārbaudi K12"))</f>
        <v>OK</v>
      </c>
      <c r="R12" s="238" t="str">
        <f>IF(AND(L12=0,L13=0),"OK",IF(L12&gt;0,IF(L13&gt;0,"OK","Pārbaudi L13"),"Pārbaudi L12"))</f>
        <v>OK</v>
      </c>
      <c r="S12" s="238" t="str">
        <f>IF(AND(M12=0,M13=0),"OK",IF(M12&gt;0,IF(M13&gt;0,"OK","Pārbaudi M13"),"Pārbaudi M12"))</f>
        <v>OK</v>
      </c>
    </row>
    <row r="13" spans="1:19" ht="25.5" customHeight="1">
      <c r="A13" s="669"/>
      <c r="B13" s="665"/>
      <c r="C13" s="663"/>
      <c r="D13" s="462" t="s">
        <v>176</v>
      </c>
      <c r="E13" s="468"/>
      <c r="F13" s="92" t="s">
        <v>783</v>
      </c>
      <c r="G13" s="63" t="s">
        <v>67</v>
      </c>
      <c r="H13" s="141">
        <v>0</v>
      </c>
      <c r="I13" s="141">
        <v>0</v>
      </c>
      <c r="J13" s="141">
        <v>0</v>
      </c>
      <c r="K13" s="141">
        <v>0</v>
      </c>
      <c r="L13" s="141">
        <v>0</v>
      </c>
      <c r="M13" s="142">
        <v>0</v>
      </c>
      <c r="N13" s="238" t="str">
        <f>IF(AND(H14=0,H15=0),"OK",IF(H14&gt;0,IF(H15&gt;0,"OK","Pārbaudi H15"),"Pārbaudi H14"))</f>
        <v>OK</v>
      </c>
      <c r="O13" s="238" t="str">
        <f>IF(AND(I14=0,I15=0),"OK",IF(I14&gt;0,IF(I15&gt;0,"OK","Pārbaudi I15"),"Pārbaudi I14"))</f>
        <v>OK</v>
      </c>
      <c r="P13" s="238" t="str">
        <f>IF(AND(J14=0,J15=0),"OK",IF(J14&gt;0,IF(J15&gt;0,"OK","Pārbaudi J15"),"Pārbaudi J14"))</f>
        <v>OK</v>
      </c>
      <c r="Q13" s="238" t="str">
        <f>IF(AND(K14=0,K15=0),"OK",IF(K14&gt;0,IF(K15&gt;0,"OK","Pārbaudi K15"),"Pārbaudi K14"))</f>
        <v>OK</v>
      </c>
      <c r="R13" s="238" t="str">
        <f>IF(AND(L14=0,L15=0),"OK",IF(L14&gt;0,IF(L15&gt;0,"OK","Pārbaudi L15"),"Pārbaudi L14"))</f>
        <v>OK</v>
      </c>
      <c r="S13" s="238" t="str">
        <f>IF(AND(M14=0,M15=0),"OK",IF(M14&gt;0,IF(M15&gt;0,"OK","Pārbaudi M15"),"Pārbaudi M14"))</f>
        <v>OK</v>
      </c>
    </row>
    <row r="14" spans="1:19" ht="12.75" customHeight="1">
      <c r="A14" s="669"/>
      <c r="B14" s="665"/>
      <c r="C14" s="462" t="s">
        <v>179</v>
      </c>
      <c r="D14" s="462" t="s">
        <v>138</v>
      </c>
      <c r="E14" s="468"/>
      <c r="F14" s="92" t="s">
        <v>784</v>
      </c>
      <c r="G14" s="242" t="s">
        <v>931</v>
      </c>
      <c r="H14" s="141">
        <v>0</v>
      </c>
      <c r="I14" s="141">
        <v>0</v>
      </c>
      <c r="J14" s="141">
        <v>0</v>
      </c>
      <c r="K14" s="141">
        <v>0</v>
      </c>
      <c r="L14" s="141">
        <v>0</v>
      </c>
      <c r="M14" s="142">
        <v>0</v>
      </c>
      <c r="N14" s="238" t="str">
        <f>IF(AND(H16=0,H17=0),"OK",IF(H16&gt;0,IF(H17&gt;0,"OK","Pārbaudi H17"),"Pārbaudi H16"))</f>
        <v>OK</v>
      </c>
      <c r="O14" s="238" t="str">
        <f>IF(AND(I16=0,I17=0),"OK",IF(I16&gt;0,IF(I17&gt;0,"OK","Pārbaudi I17"),"Pārbaudi I16"))</f>
        <v>OK</v>
      </c>
      <c r="P14" s="238" t="str">
        <f>IF(AND(J16=0,J17=0),"OK",IF(J16&gt;0,IF(J17&gt;0,"OK","Pārbaudi J17"),"Pārbaudi J16"))</f>
        <v>OK</v>
      </c>
      <c r="Q14" s="238" t="str">
        <f>IF(AND(K16=0,K17=0),"OK",IF(K16&gt;0,IF(K17&gt;0,"OK","Pārbaudi K17"),"Pārbaudi K16"))</f>
        <v>OK</v>
      </c>
      <c r="R14" s="238" t="str">
        <f>IF(AND(L16=0,L17=0),"OK",IF(L16&gt;0,IF(L17&gt;0,"OK","Pārbaudi L17"),"Pārbaudi L16"))</f>
        <v>OK</v>
      </c>
      <c r="S14" s="238" t="str">
        <f>IF(AND(M16=0,M17=0),"OK",IF(M16&gt;0,IF(M17&gt;0,"OK","Pārbaudi M17"),"Pārbaudi M16"))</f>
        <v>OK</v>
      </c>
    </row>
    <row r="15" spans="1:19" ht="26.25" customHeight="1">
      <c r="A15" s="669"/>
      <c r="B15" s="665"/>
      <c r="C15" s="663"/>
      <c r="D15" s="462" t="s">
        <v>176</v>
      </c>
      <c r="E15" s="468"/>
      <c r="F15" s="92" t="s">
        <v>785</v>
      </c>
      <c r="G15" s="63" t="s">
        <v>67</v>
      </c>
      <c r="H15" s="141">
        <v>0</v>
      </c>
      <c r="I15" s="141">
        <v>0</v>
      </c>
      <c r="J15" s="141">
        <v>0</v>
      </c>
      <c r="K15" s="141">
        <v>0</v>
      </c>
      <c r="L15" s="141">
        <v>0</v>
      </c>
      <c r="M15" s="142">
        <v>0</v>
      </c>
      <c r="N15" s="238" t="str">
        <f>IF(AND(H18=0,H19=0),"OK",IF(H18&gt;0,IF(H19&gt;0,"OK","Pārbaudi H19"),"Pārbaudi H18"))</f>
        <v>OK</v>
      </c>
      <c r="O15" s="238" t="str">
        <f>IF(AND(I18=0,I19=0),"OK",IF(I18&gt;0,IF(I19&gt;0,"OK","Pārbaudi I19"),"Pārbaudi I18"))</f>
        <v>OK</v>
      </c>
      <c r="P15" s="238" t="str">
        <f>IF(AND(J18=0,J19=0),"OK",IF(J18&gt;0,IF(J19&gt;0,"OK","Pārbaudi J19"),"Pārbaudi J18"))</f>
        <v>OK</v>
      </c>
      <c r="Q15" s="238" t="str">
        <f>IF(AND(K18=0,K19=0),"OK",IF(K18&gt;0,IF(K19&gt;0,"OK","Pārbaudi K19"),"Pārbaudi K18"))</f>
        <v>OK</v>
      </c>
      <c r="R15" s="238" t="str">
        <f>IF(AND(L18=0,L19=0),"OK",IF(L18&gt;0,IF(L19&gt;0,"OK","Pārbaudi L19"),"Pārbaudi L18"))</f>
        <v>OK</v>
      </c>
      <c r="S15" s="238" t="str">
        <f>IF(AND(M18=0,M19=0),"OK",IF(M18&gt;0,IF(M19&gt;0,"OK","Pārbaudi M19"),"Pārbaudi M18"))</f>
        <v>OK</v>
      </c>
    </row>
    <row r="16" spans="1:13" ht="12.75">
      <c r="A16" s="669"/>
      <c r="B16" s="665"/>
      <c r="C16" s="462" t="s">
        <v>180</v>
      </c>
      <c r="D16" s="462" t="s">
        <v>138</v>
      </c>
      <c r="E16" s="468"/>
      <c r="F16" s="92" t="s">
        <v>786</v>
      </c>
      <c r="G16" s="242" t="s">
        <v>931</v>
      </c>
      <c r="H16" s="141">
        <v>0</v>
      </c>
      <c r="I16" s="141">
        <v>0</v>
      </c>
      <c r="J16" s="141">
        <v>0</v>
      </c>
      <c r="K16" s="141">
        <v>0</v>
      </c>
      <c r="L16" s="141">
        <v>0</v>
      </c>
      <c r="M16" s="142">
        <v>0</v>
      </c>
    </row>
    <row r="17" spans="1:13" ht="25.5" customHeight="1">
      <c r="A17" s="669"/>
      <c r="B17" s="665"/>
      <c r="C17" s="663"/>
      <c r="D17" s="462" t="s">
        <v>176</v>
      </c>
      <c r="E17" s="468"/>
      <c r="F17" s="92" t="s">
        <v>787</v>
      </c>
      <c r="G17" s="63" t="s">
        <v>67</v>
      </c>
      <c r="H17" s="141">
        <v>0</v>
      </c>
      <c r="I17" s="141">
        <v>0</v>
      </c>
      <c r="J17" s="141">
        <v>0</v>
      </c>
      <c r="K17" s="141">
        <v>0</v>
      </c>
      <c r="L17" s="141">
        <v>0</v>
      </c>
      <c r="M17" s="142">
        <v>0</v>
      </c>
    </row>
    <row r="18" spans="1:13" ht="12.75">
      <c r="A18" s="669"/>
      <c r="B18" s="665"/>
      <c r="C18" s="462" t="s">
        <v>181</v>
      </c>
      <c r="D18" s="462" t="s">
        <v>138</v>
      </c>
      <c r="E18" s="468"/>
      <c r="F18" s="92" t="s">
        <v>788</v>
      </c>
      <c r="G18" s="242" t="s">
        <v>931</v>
      </c>
      <c r="H18" s="141">
        <v>0</v>
      </c>
      <c r="I18" s="141">
        <v>0</v>
      </c>
      <c r="J18" s="141">
        <v>0</v>
      </c>
      <c r="K18" s="141">
        <v>0</v>
      </c>
      <c r="L18" s="141">
        <v>0</v>
      </c>
      <c r="M18" s="142">
        <v>0</v>
      </c>
    </row>
    <row r="19" spans="1:13" ht="24.75" customHeight="1">
      <c r="A19" s="669"/>
      <c r="B19" s="665"/>
      <c r="C19" s="663"/>
      <c r="D19" s="462" t="s">
        <v>176</v>
      </c>
      <c r="E19" s="468"/>
      <c r="F19" s="92" t="s">
        <v>789</v>
      </c>
      <c r="G19" s="63" t="s">
        <v>67</v>
      </c>
      <c r="H19" s="141">
        <v>0</v>
      </c>
      <c r="I19" s="141">
        <v>0</v>
      </c>
      <c r="J19" s="141">
        <v>0</v>
      </c>
      <c r="K19" s="141">
        <v>0</v>
      </c>
      <c r="L19" s="141">
        <v>0</v>
      </c>
      <c r="M19" s="142">
        <v>0</v>
      </c>
    </row>
    <row r="20" spans="1:13" ht="24.75" customHeight="1">
      <c r="A20" s="669"/>
      <c r="B20" s="665"/>
      <c r="C20" s="462" t="s">
        <v>169</v>
      </c>
      <c r="D20" s="468"/>
      <c r="E20" s="468"/>
      <c r="F20" s="92" t="s">
        <v>374</v>
      </c>
      <c r="G20" s="63" t="s">
        <v>67</v>
      </c>
      <c r="H20" s="119">
        <f aca="true" t="shared" si="3" ref="H20:M20">H21+H22</f>
        <v>0</v>
      </c>
      <c r="I20" s="119">
        <f t="shared" si="3"/>
        <v>0</v>
      </c>
      <c r="J20" s="119">
        <f t="shared" si="3"/>
        <v>0</v>
      </c>
      <c r="K20" s="119">
        <f t="shared" si="3"/>
        <v>0</v>
      </c>
      <c r="L20" s="119">
        <f t="shared" si="3"/>
        <v>0</v>
      </c>
      <c r="M20" s="125">
        <f t="shared" si="3"/>
        <v>0</v>
      </c>
    </row>
    <row r="21" spans="1:13" ht="25.5" customHeight="1">
      <c r="A21" s="669"/>
      <c r="B21" s="665"/>
      <c r="C21" s="462" t="s">
        <v>170</v>
      </c>
      <c r="D21" s="500" t="s">
        <v>171</v>
      </c>
      <c r="E21" s="667"/>
      <c r="F21" s="96" t="s">
        <v>790</v>
      </c>
      <c r="G21" s="63" t="s">
        <v>67</v>
      </c>
      <c r="H21" s="141">
        <v>0</v>
      </c>
      <c r="I21" s="141">
        <v>0</v>
      </c>
      <c r="J21" s="141">
        <v>0</v>
      </c>
      <c r="K21" s="141">
        <v>0</v>
      </c>
      <c r="L21" s="141">
        <v>0</v>
      </c>
      <c r="M21" s="142">
        <v>0</v>
      </c>
    </row>
    <row r="22" spans="1:13" ht="28.5" customHeight="1">
      <c r="A22" s="669"/>
      <c r="B22" s="665"/>
      <c r="C22" s="663"/>
      <c r="D22" s="500" t="s">
        <v>172</v>
      </c>
      <c r="E22" s="667"/>
      <c r="F22" s="96" t="s">
        <v>791</v>
      </c>
      <c r="G22" s="63" t="s">
        <v>67</v>
      </c>
      <c r="H22" s="141">
        <v>0</v>
      </c>
      <c r="I22" s="141">
        <v>0</v>
      </c>
      <c r="J22" s="141">
        <v>0</v>
      </c>
      <c r="K22" s="141">
        <v>0</v>
      </c>
      <c r="L22" s="141">
        <v>0</v>
      </c>
      <c r="M22" s="142">
        <v>0</v>
      </c>
    </row>
    <row r="23" spans="1:13" ht="36.75" customHeight="1" thickBot="1">
      <c r="A23" s="670"/>
      <c r="B23" s="666"/>
      <c r="C23" s="473" t="s">
        <v>173</v>
      </c>
      <c r="D23" s="671"/>
      <c r="E23" s="671"/>
      <c r="F23" s="93" t="s">
        <v>375</v>
      </c>
      <c r="G23" s="69" t="s">
        <v>67</v>
      </c>
      <c r="H23" s="143">
        <v>0</v>
      </c>
      <c r="I23" s="143">
        <v>0</v>
      </c>
      <c r="J23" s="143">
        <v>0</v>
      </c>
      <c r="K23" s="143">
        <v>0</v>
      </c>
      <c r="L23" s="143">
        <v>0</v>
      </c>
      <c r="M23" s="144">
        <v>0</v>
      </c>
    </row>
    <row r="24" ht="12.75">
      <c r="B24" s="1"/>
    </row>
  </sheetData>
  <sheetProtection password="CE88" sheet="1" objects="1" scenarios="1"/>
  <mergeCells count="37">
    <mergeCell ref="I2:M2"/>
    <mergeCell ref="I3:I4"/>
    <mergeCell ref="J3:K3"/>
    <mergeCell ref="L3:M3"/>
    <mergeCell ref="A2:E4"/>
    <mergeCell ref="F2:F4"/>
    <mergeCell ref="G2:G4"/>
    <mergeCell ref="H2:H4"/>
    <mergeCell ref="A5:A23"/>
    <mergeCell ref="D22:E22"/>
    <mergeCell ref="D17:E17"/>
    <mergeCell ref="C20:E20"/>
    <mergeCell ref="C21:C22"/>
    <mergeCell ref="C23:E23"/>
    <mergeCell ref="D19:E19"/>
    <mergeCell ref="C5:E5"/>
    <mergeCell ref="C6:E6"/>
    <mergeCell ref="C7:C9"/>
    <mergeCell ref="C16:C17"/>
    <mergeCell ref="D16:E16"/>
    <mergeCell ref="B10:B23"/>
    <mergeCell ref="D21:E21"/>
    <mergeCell ref="D12:E12"/>
    <mergeCell ref="C10:C11"/>
    <mergeCell ref="D10:E10"/>
    <mergeCell ref="D11:E11"/>
    <mergeCell ref="C18:C19"/>
    <mergeCell ref="D18:E18"/>
    <mergeCell ref="C12:C13"/>
    <mergeCell ref="B5:B9"/>
    <mergeCell ref="D13:E13"/>
    <mergeCell ref="C14:C15"/>
    <mergeCell ref="D14:E14"/>
    <mergeCell ref="D15:E15"/>
    <mergeCell ref="D7:E7"/>
    <mergeCell ref="D8:E8"/>
    <mergeCell ref="D9:E9"/>
  </mergeCells>
  <printOptions/>
  <pageMargins left="0.75" right="0.75" top="0.6" bottom="0.52" header="0.36" footer="0.33"/>
  <pageSetup horizontalDpi="1200" verticalDpi="1200" orientation="landscape" paperSize="9"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Q31"/>
  <sheetViews>
    <sheetView zoomScale="90" zoomScaleNormal="90" zoomScalePageLayoutView="0" workbookViewId="0" topLeftCell="A1">
      <selection activeCell="M26" sqref="M26"/>
    </sheetView>
  </sheetViews>
  <sheetFormatPr defaultColWidth="9.140625" defaultRowHeight="12.75"/>
  <cols>
    <col min="1" max="1" width="10.8515625" style="0" customWidth="1"/>
    <col min="2" max="2" width="11.421875" style="0" customWidth="1"/>
    <col min="3" max="3" width="11.00390625" style="0" customWidth="1"/>
    <col min="5" max="5" width="9.140625" style="99" customWidth="1"/>
    <col min="6" max="6" width="13.57421875" style="60" customWidth="1"/>
    <col min="7" max="7" width="12.140625" style="0" customWidth="1"/>
    <col min="8" max="8" width="10.00390625" style="0" customWidth="1"/>
    <col min="9" max="9" width="10.421875" style="0" customWidth="1"/>
    <col min="10" max="10" width="12.00390625" style="0" customWidth="1"/>
    <col min="11" max="11" width="10.28125" style="0" customWidth="1"/>
    <col min="12" max="12" width="11.140625" style="0" customWidth="1"/>
  </cols>
  <sheetData>
    <row r="1" spans="1:12" ht="25.5" customHeight="1" thickBot="1">
      <c r="A1" s="684" t="s">
        <v>225</v>
      </c>
      <c r="B1" s="685"/>
      <c r="C1" s="685"/>
      <c r="D1" s="685"/>
      <c r="E1" s="685"/>
      <c r="F1" s="685"/>
      <c r="G1" s="685"/>
      <c r="H1" s="685"/>
      <c r="I1" s="685"/>
      <c r="J1" s="685"/>
      <c r="K1" s="685"/>
      <c r="L1" s="685"/>
    </row>
    <row r="2" spans="1:12" s="64" customFormat="1" ht="12.75">
      <c r="A2" s="649" t="s">
        <v>124</v>
      </c>
      <c r="B2" s="641"/>
      <c r="C2" s="641"/>
      <c r="D2" s="650"/>
      <c r="E2" s="646" t="s">
        <v>60</v>
      </c>
      <c r="F2" s="641" t="s">
        <v>61</v>
      </c>
      <c r="G2" s="641" t="s">
        <v>125</v>
      </c>
      <c r="H2" s="641" t="s">
        <v>126</v>
      </c>
      <c r="I2" s="641"/>
      <c r="J2" s="641"/>
      <c r="K2" s="641"/>
      <c r="L2" s="642"/>
    </row>
    <row r="3" spans="1:12" s="64" customFormat="1" ht="26.25" customHeight="1">
      <c r="A3" s="651"/>
      <c r="B3" s="652"/>
      <c r="C3" s="652"/>
      <c r="D3" s="653"/>
      <c r="E3" s="647"/>
      <c r="F3" s="643"/>
      <c r="G3" s="643"/>
      <c r="H3" s="643" t="s">
        <v>127</v>
      </c>
      <c r="I3" s="643" t="s">
        <v>128</v>
      </c>
      <c r="J3" s="643"/>
      <c r="K3" s="643" t="s">
        <v>129</v>
      </c>
      <c r="L3" s="645"/>
    </row>
    <row r="4" spans="1:12" s="64" customFormat="1" ht="39" thickBot="1">
      <c r="A4" s="654"/>
      <c r="B4" s="655"/>
      <c r="C4" s="655"/>
      <c r="D4" s="656"/>
      <c r="E4" s="648"/>
      <c r="F4" s="644"/>
      <c r="G4" s="644"/>
      <c r="H4" s="644"/>
      <c r="I4" s="80" t="s">
        <v>130</v>
      </c>
      <c r="J4" s="80" t="s">
        <v>131</v>
      </c>
      <c r="K4" s="80" t="s">
        <v>130</v>
      </c>
      <c r="L4" s="81" t="s">
        <v>131</v>
      </c>
    </row>
    <row r="5" spans="1:12" s="64" customFormat="1" ht="24.75" customHeight="1">
      <c r="A5" s="636" t="s">
        <v>182</v>
      </c>
      <c r="B5" s="639" t="s">
        <v>133</v>
      </c>
      <c r="C5" s="683"/>
      <c r="D5" s="683"/>
      <c r="E5" s="109">
        <v>221</v>
      </c>
      <c r="F5" s="82" t="s">
        <v>144</v>
      </c>
      <c r="G5" s="120">
        <f aca="true" t="shared" si="0" ref="G5:L5">G19+G22+G25</f>
        <v>1</v>
      </c>
      <c r="H5" s="120">
        <f t="shared" si="0"/>
        <v>21</v>
      </c>
      <c r="I5" s="120">
        <f t="shared" si="0"/>
        <v>2</v>
      </c>
      <c r="J5" s="120">
        <f t="shared" si="0"/>
        <v>8</v>
      </c>
      <c r="K5" s="120">
        <f t="shared" si="0"/>
        <v>0</v>
      </c>
      <c r="L5" s="134">
        <f t="shared" si="0"/>
        <v>0</v>
      </c>
    </row>
    <row r="6" spans="1:12" s="64" customFormat="1" ht="26.25" customHeight="1">
      <c r="A6" s="679"/>
      <c r="B6" s="462" t="s">
        <v>136</v>
      </c>
      <c r="C6" s="471"/>
      <c r="D6" s="471"/>
      <c r="E6" s="92">
        <v>222</v>
      </c>
      <c r="F6" s="75" t="s">
        <v>67</v>
      </c>
      <c r="G6" s="141">
        <v>34</v>
      </c>
      <c r="H6" s="62" t="s">
        <v>145</v>
      </c>
      <c r="I6" s="62" t="s">
        <v>145</v>
      </c>
      <c r="J6" s="62" t="s">
        <v>145</v>
      </c>
      <c r="K6" s="62" t="s">
        <v>145</v>
      </c>
      <c r="L6" s="67" t="s">
        <v>145</v>
      </c>
    </row>
    <row r="7" spans="1:15" s="64" customFormat="1" ht="12.75">
      <c r="A7" s="679"/>
      <c r="B7" s="462" t="s">
        <v>137</v>
      </c>
      <c r="C7" s="471"/>
      <c r="D7" s="471"/>
      <c r="E7" s="96" t="s">
        <v>376</v>
      </c>
      <c r="F7" s="75" t="s">
        <v>67</v>
      </c>
      <c r="G7" s="141">
        <v>3</v>
      </c>
      <c r="H7" s="62" t="s">
        <v>145</v>
      </c>
      <c r="I7" s="62" t="s">
        <v>145</v>
      </c>
      <c r="J7" s="62" t="s">
        <v>145</v>
      </c>
      <c r="K7" s="62" t="s">
        <v>145</v>
      </c>
      <c r="L7" s="67" t="s">
        <v>145</v>
      </c>
      <c r="M7" s="189" t="str">
        <f>IF(G7&lt;=G6,"OK","Sociālā darba speciālistu skaits ir lielāks kā kopējais darbinieku skaits pārskata gada beigās!")</f>
        <v>OK</v>
      </c>
      <c r="N7" s="187"/>
      <c r="O7" t="str">
        <f>IF(AND(SUM(G5:L5)&gt;0,OR(SUM(G20:L20)&gt;0,SUM(G23:L23)&gt;0,SUM(G26:L26)&gt;0)),"OK",IF(SUM(G5:L27)=0,"OK","Pārbaudi naudu, cilvēku vai institūciju skaitu"))</f>
        <v>OK</v>
      </c>
    </row>
    <row r="8" spans="1:12" s="64" customFormat="1" ht="12.75">
      <c r="A8" s="679"/>
      <c r="B8" s="462" t="s">
        <v>138</v>
      </c>
      <c r="C8" s="471"/>
      <c r="D8" s="471"/>
      <c r="E8" s="92" t="s">
        <v>377</v>
      </c>
      <c r="F8" s="240" t="s">
        <v>931</v>
      </c>
      <c r="G8" s="119">
        <f aca="true" t="shared" si="1" ref="G8:L8">G20+G23+G26</f>
        <v>518285</v>
      </c>
      <c r="H8" s="119">
        <f t="shared" si="1"/>
        <v>146677.2</v>
      </c>
      <c r="I8" s="119">
        <f t="shared" si="1"/>
        <v>377234.20999999996</v>
      </c>
      <c r="J8" s="119">
        <f t="shared" si="1"/>
        <v>123292.19</v>
      </c>
      <c r="K8" s="119">
        <f t="shared" si="1"/>
        <v>0</v>
      </c>
      <c r="L8" s="125">
        <f t="shared" si="1"/>
        <v>0</v>
      </c>
    </row>
    <row r="9" spans="1:14" s="64" customFormat="1" ht="13.5" customHeight="1">
      <c r="A9" s="679"/>
      <c r="B9" s="462" t="s">
        <v>139</v>
      </c>
      <c r="C9" s="471"/>
      <c r="D9" s="471"/>
      <c r="E9" s="92" t="s">
        <v>378</v>
      </c>
      <c r="F9" s="75" t="s">
        <v>67</v>
      </c>
      <c r="G9" s="119">
        <f aca="true" t="shared" si="2" ref="G9:L9">G10+G11+G12+G13</f>
        <v>43</v>
      </c>
      <c r="H9" s="119">
        <f t="shared" si="2"/>
        <v>32</v>
      </c>
      <c r="I9" s="119">
        <f t="shared" si="2"/>
        <v>82</v>
      </c>
      <c r="J9" s="119">
        <f t="shared" si="2"/>
        <v>26</v>
      </c>
      <c r="K9" s="119">
        <f t="shared" si="2"/>
        <v>0</v>
      </c>
      <c r="L9" s="125">
        <f t="shared" si="2"/>
        <v>0</v>
      </c>
      <c r="M9" s="189" t="str">
        <f>IF(AND(G9&gt;=SUM(G21,G24,G27),H9&gt;=SUM(H21,H24,H27),I9&gt;=SUM(I21,I24,I27),J9&gt;=SUM(J21,J24,J27),K9&gt;=SUM(K21,K24,K27),L9&gt;=SUM(L21,L24,L27)),"OK","Pārbaudiet  katru vecuma kategorijas  pakalpojumu saņēmušo klientu skaitu!")</f>
        <v>OK</v>
      </c>
      <c r="N9" s="123"/>
    </row>
    <row r="10" spans="1:12" s="64" customFormat="1" ht="12.75">
      <c r="A10" s="679"/>
      <c r="B10" s="475" t="s">
        <v>74</v>
      </c>
      <c r="C10" s="466" t="s">
        <v>140</v>
      </c>
      <c r="D10" s="55" t="s">
        <v>142</v>
      </c>
      <c r="E10" s="95" t="s">
        <v>379</v>
      </c>
      <c r="F10" s="75" t="s">
        <v>67</v>
      </c>
      <c r="G10" s="141">
        <v>0</v>
      </c>
      <c r="H10" s="141">
        <v>5</v>
      </c>
      <c r="I10" s="141">
        <v>5</v>
      </c>
      <c r="J10" s="141">
        <v>9</v>
      </c>
      <c r="K10" s="141">
        <v>0</v>
      </c>
      <c r="L10" s="142">
        <v>0</v>
      </c>
    </row>
    <row r="11" spans="1:12" s="64" customFormat="1" ht="12.75">
      <c r="A11" s="679"/>
      <c r="B11" s="475"/>
      <c r="C11" s="466"/>
      <c r="D11" s="55" t="s">
        <v>143</v>
      </c>
      <c r="E11" s="95" t="s">
        <v>380</v>
      </c>
      <c r="F11" s="75" t="s">
        <v>67</v>
      </c>
      <c r="G11" s="141">
        <v>0</v>
      </c>
      <c r="H11" s="141">
        <v>0</v>
      </c>
      <c r="I11" s="141">
        <v>1</v>
      </c>
      <c r="J11" s="141">
        <v>11</v>
      </c>
      <c r="K11" s="141">
        <v>0</v>
      </c>
      <c r="L11" s="142">
        <v>0</v>
      </c>
    </row>
    <row r="12" spans="1:12" s="64" customFormat="1" ht="12.75">
      <c r="A12" s="679"/>
      <c r="B12" s="475"/>
      <c r="C12" s="466" t="s">
        <v>141</v>
      </c>
      <c r="D12" s="55" t="s">
        <v>142</v>
      </c>
      <c r="E12" s="95" t="s">
        <v>381</v>
      </c>
      <c r="F12" s="75" t="s">
        <v>67</v>
      </c>
      <c r="G12" s="141">
        <v>22</v>
      </c>
      <c r="H12" s="141">
        <v>13</v>
      </c>
      <c r="I12" s="141">
        <v>33</v>
      </c>
      <c r="J12" s="141">
        <v>3</v>
      </c>
      <c r="K12" s="141">
        <v>0</v>
      </c>
      <c r="L12" s="142">
        <v>0</v>
      </c>
    </row>
    <row r="13" spans="1:12" s="64" customFormat="1" ht="12.75">
      <c r="A13" s="679"/>
      <c r="B13" s="475"/>
      <c r="C13" s="466"/>
      <c r="D13" s="55" t="s">
        <v>143</v>
      </c>
      <c r="E13" s="95" t="s">
        <v>382</v>
      </c>
      <c r="F13" s="75" t="s">
        <v>67</v>
      </c>
      <c r="G13" s="141">
        <v>21</v>
      </c>
      <c r="H13" s="141">
        <v>14</v>
      </c>
      <c r="I13" s="141">
        <v>43</v>
      </c>
      <c r="J13" s="141">
        <v>3</v>
      </c>
      <c r="K13" s="141">
        <v>0</v>
      </c>
      <c r="L13" s="142">
        <v>0</v>
      </c>
    </row>
    <row r="14" spans="1:17" ht="25.5" customHeight="1">
      <c r="A14" s="680"/>
      <c r="B14" s="462" t="s">
        <v>152</v>
      </c>
      <c r="C14" s="468"/>
      <c r="D14" s="468"/>
      <c r="E14" s="95" t="s">
        <v>383</v>
      </c>
      <c r="F14" s="75" t="s">
        <v>67</v>
      </c>
      <c r="G14" s="141">
        <v>43</v>
      </c>
      <c r="H14" s="141">
        <v>32</v>
      </c>
      <c r="I14" s="141">
        <v>82</v>
      </c>
      <c r="J14" s="141">
        <v>26</v>
      </c>
      <c r="K14" s="141">
        <v>0</v>
      </c>
      <c r="L14" s="142">
        <v>0</v>
      </c>
      <c r="M14" s="189" t="str">
        <f>IF(AND(G14&lt;=G9,H14&lt;=H9,I14&lt;=I9,J14&lt;=J9,K14&lt;=K9,L14&lt;=L9),"OK","Klientu skaits, kuriem pakalpojumu pilnībā vai daļēji apmaksā pašvaldība, ir lielāks kā kopējais pakalpojumus saņēmušo klientu skaits!")</f>
        <v>OK</v>
      </c>
      <c r="N14" s="188"/>
      <c r="O14" s="188"/>
      <c r="P14" s="188"/>
      <c r="Q14" s="188"/>
    </row>
    <row r="15" spans="1:14" ht="24" customHeight="1">
      <c r="A15" s="680"/>
      <c r="B15" s="462" t="s">
        <v>169</v>
      </c>
      <c r="C15" s="468"/>
      <c r="D15" s="468"/>
      <c r="E15" s="92" t="s">
        <v>384</v>
      </c>
      <c r="F15" s="63" t="s">
        <v>67</v>
      </c>
      <c r="G15" s="119">
        <f aca="true" t="shared" si="3" ref="G15:L15">G16+G17</f>
        <v>0</v>
      </c>
      <c r="H15" s="119">
        <f t="shared" si="3"/>
        <v>0</v>
      </c>
      <c r="I15" s="119">
        <f t="shared" si="3"/>
        <v>0</v>
      </c>
      <c r="J15" s="119">
        <f t="shared" si="3"/>
        <v>0</v>
      </c>
      <c r="K15" s="119">
        <f t="shared" si="3"/>
        <v>0</v>
      </c>
      <c r="L15" s="125">
        <f t="shared" si="3"/>
        <v>0</v>
      </c>
      <c r="N15" t="str">
        <f>IF(G9&gt;=G14,IF(G9=G21+G24+G27,IF(G10+G11+G12+G13=G21+G24+G27,IF(G5=G19+G22+G25,IF(G8=G20+G23+G26,"OK","Pārbaudi tabulu 2.2 G8, G20, G23, G26"),"Pārbaudi tabalu 2.2 G5, G19, G22, G25"),"Pārbaudi tabulu 2.2 G10, G11, G12, G13, G21, G24, G27"),"Pārbaudi tabulu 2.2 G9, G21, G24, G27"),"Pārbaudi tabulu 2.2 G9, G14")</f>
        <v>OK</v>
      </c>
    </row>
    <row r="16" spans="1:15" ht="20.25" customHeight="1">
      <c r="A16" s="680"/>
      <c r="B16" s="462" t="s">
        <v>170</v>
      </c>
      <c r="C16" s="462" t="s">
        <v>171</v>
      </c>
      <c r="D16" s="663"/>
      <c r="E16" s="96" t="s">
        <v>385</v>
      </c>
      <c r="F16" s="63" t="s">
        <v>67</v>
      </c>
      <c r="G16" s="141">
        <v>0</v>
      </c>
      <c r="H16" s="141">
        <v>0</v>
      </c>
      <c r="I16" s="141">
        <v>0</v>
      </c>
      <c r="J16" s="141">
        <v>0</v>
      </c>
      <c r="K16" s="141">
        <v>0</v>
      </c>
      <c r="L16" s="142">
        <v>0</v>
      </c>
      <c r="N16" t="str">
        <f>IF(H9&gt;=H14,IF(H9=H21+H24+H27,IF(H10+H11+H12+H13=H21+H24+H27,IF(H5=H19+H22+H25,IF(H8=H20+H23+H26,"OK","Pārbaudi tabulu 2.2 G8, G20, G23, G26"),"Pārbaudi tabalu 2.2 G5, G19, G22, G25"),"Pārbaudi tabulu 2.2 G10, G11, G12, G13, G21, G24, G27"),"Pārbaudi tabulu 2.2 G9, G21, G24, G27"),"Pārbaudi tabulu 2.2 G9, G14")</f>
        <v>OK</v>
      </c>
      <c r="O16" t="str">
        <f>IF(SUM(G5:G36)=0,"OK",IF(G10+G11+G12+G13=G9,IF(AND(G5&gt;0,G8&gt;0,G9&gt;0,MAX(G21,G24,G27)&lt;=G9,G13+G12+G11+G10&lt;=G21+G24+G27),IF(G14&lt;=G9,IF(G5=G19+G22+G25,"OK","Pārbaudi tabulā 2.2 G5, G19, G22, G25"),"Pārbaudi tabulā 2.2 G9, G14"),"Pārbaudi tabulā 2.2 G10, G11, G12, G13, G21, G24, G27"),"Pārbaudi tabulā 2.2 G9, G10, G11, G12, G13"))</f>
        <v>OK</v>
      </c>
    </row>
    <row r="17" spans="1:15" ht="17.25" customHeight="1">
      <c r="A17" s="680"/>
      <c r="B17" s="663"/>
      <c r="C17" s="462" t="s">
        <v>172</v>
      </c>
      <c r="D17" s="663"/>
      <c r="E17" s="96" t="s">
        <v>386</v>
      </c>
      <c r="F17" s="63" t="s">
        <v>67</v>
      </c>
      <c r="G17" s="141">
        <v>0</v>
      </c>
      <c r="H17" s="141">
        <v>0</v>
      </c>
      <c r="I17" s="141">
        <v>0</v>
      </c>
      <c r="J17" s="141">
        <v>0</v>
      </c>
      <c r="K17" s="141">
        <v>0</v>
      </c>
      <c r="L17" s="142">
        <v>0</v>
      </c>
      <c r="N17" t="str">
        <f>IF(I9&gt;=I14,IF(I9=I21+I24+I27,IF(I10+I11+I12+I13=I21+I24+I27,IF(I5=I19+I22+I25,IF(I8=I20+I23+I26,"OK","Pārbaudi tabulu 2.2 G8, G20, G23, G26"),"Pārbaudi tabalu 2.2 G5, G19, G22, G25"),"Pārbaudi tabulu 2.2 G10, G11, G12, G13, G21, G24, G27"),"Pārbaudi tabulu 2.2 G9, G21, G24, G27"),"Pārbaudi tabulu 2.2 G9, G14")</f>
        <v>OK</v>
      </c>
      <c r="O17" t="str">
        <f>IF(SUM(H5:H36)=0,"OK",IF(H10+H11+H12+H13=H9,IF(AND(H5&gt;0,H8&gt;0,H9&gt;0,MAX(H21,H24,H27)&lt;=H9,H13+H12+H11+H10&lt;=H21+H24+H27),IF(H14&lt;=H9,IF(H5=H19+H22+H25,"OK","Pārbaudi tabulā 2.2 H5, H19, H22, H25"),"Pārbaudi tabulā 2.2 H9, H14"),"Pārbaudi tabulā 2.2 H10, H11, H12, H13, H21, H24, H27"),"Pārbaudi tabulā 2.2 H9, H10, H11, H12, H13"))</f>
        <v>OK</v>
      </c>
    </row>
    <row r="18" spans="1:15" ht="40.5" customHeight="1" thickBot="1">
      <c r="A18" s="681"/>
      <c r="B18" s="473" t="s">
        <v>173</v>
      </c>
      <c r="C18" s="671"/>
      <c r="D18" s="671"/>
      <c r="E18" s="93" t="s">
        <v>387</v>
      </c>
      <c r="F18" s="69" t="s">
        <v>67</v>
      </c>
      <c r="G18" s="143">
        <v>0</v>
      </c>
      <c r="H18" s="143">
        <v>0</v>
      </c>
      <c r="I18" s="143">
        <v>0</v>
      </c>
      <c r="J18" s="143">
        <v>0</v>
      </c>
      <c r="K18" s="143">
        <v>0</v>
      </c>
      <c r="L18" s="144">
        <v>0</v>
      </c>
      <c r="N18" t="str">
        <f>IF(J9&gt;=J14,IF(J9=J21+J24+J27,IF(J10+J11+J12+J13=J21+J24+J27,IF(J5=J19+J22+J25,IF(J8=J20+J23+J26,"OK","Pārbaudi tabulu 2.2 G8, G20, G23, G26"),"Pārbaudi tabalu 2.2 G5, G19, G22, G25"),"Pārbaudi tabulu 2.2 G10, G11, G12, G13, G21, G24, G27"),"Pārbaudi tabulu 2.2 G9, G21, G24, G27"),"Pārbaudi tabulu 2.2 G9, G14")</f>
        <v>OK</v>
      </c>
      <c r="O18" t="str">
        <f>IF(SUM(I5:I36)=0,"OK",IF(I10+I11+I12+I13=I9,IF(AND(I5&gt;0,I8&gt;0,I9&gt;0,MAX(I21,I24,I27)&lt;=I9,I13+I12+I11+I10&lt;=I21+I24+I27),IF(I14&lt;=I9,IF(I5=I19+I22+I25,"OK","Pārbaudi tabulā 2.2 I5, I19, I22, I25"),"Pārbaudi tabulā 2.2 I9, I14"),"Pārbaudi tabulā 2.2 I10, I11, I12, I13, I21, I24, I27"),"Pārbaudi tabulā 2.2 I9, I10, I11, I12, I13"))</f>
        <v>OK</v>
      </c>
    </row>
    <row r="19" spans="1:15" s="1" customFormat="1" ht="44.25" customHeight="1">
      <c r="A19" s="668" t="s">
        <v>74</v>
      </c>
      <c r="B19" s="460" t="s">
        <v>204</v>
      </c>
      <c r="C19" s="460" t="s">
        <v>133</v>
      </c>
      <c r="D19" s="682"/>
      <c r="E19" s="102" t="s">
        <v>388</v>
      </c>
      <c r="F19" s="71" t="s">
        <v>144</v>
      </c>
      <c r="G19" s="145">
        <v>1</v>
      </c>
      <c r="H19" s="145">
        <v>16</v>
      </c>
      <c r="I19" s="145">
        <v>1</v>
      </c>
      <c r="J19" s="145">
        <v>3</v>
      </c>
      <c r="K19" s="145">
        <v>0</v>
      </c>
      <c r="L19" s="146">
        <v>0</v>
      </c>
      <c r="N19" t="str">
        <f>IF(K9&gt;=K14,IF(K9=K21+K24+K27,IF(K10+K11+K12+K13=K21+K24+K27,IF(K5=K19+K22+K25,IF(K8=K20+K23+K26,"OK","Pārbaudi tabulu 2.2 G8, G20, G23, G26"),"Pārbaudi tabalu 2.2 G5, G19, G22, G25"),"Pārbaudi tabulu 2.2 G10, G11, G12, G13, G21, G24, G27"),"Pārbaudi tabulu 2.2 G9, G21, G24, G27"),"Pārbaudi tabulu 2.2 G9, G14")</f>
        <v>OK</v>
      </c>
      <c r="O19" t="str">
        <f>IF(SUM(J5:J36)=0,"OK",IF(J10+J11+J12+J13=J9,IF(AND(J5&gt;0,J8&gt;0,J9&gt;0,MAX(J21,J24,J27)&lt;=J9,J13+J12+J11+J10&lt;=J21+J24+J27),IF(J14&lt;=J9,IF(J5=J19+J22+J25,"OK","Pārbaudi tabulā 2.2 J5, J19, J22, J25"),"Pārbaudi tabulā 2.2 J9, J14"),"Pārbaudi tabulā 2.2 J10, J11, J12, J13, J21, J24, J27"),"Pārbaudi tabulā 2.2 J9, J10, J11, J12, J13"))</f>
        <v>OK</v>
      </c>
    </row>
    <row r="20" spans="1:15" s="1" customFormat="1" ht="42" customHeight="1">
      <c r="A20" s="478"/>
      <c r="B20" s="468"/>
      <c r="C20" s="462" t="s">
        <v>138</v>
      </c>
      <c r="D20" s="468"/>
      <c r="E20" s="96" t="s">
        <v>389</v>
      </c>
      <c r="F20" s="242" t="s">
        <v>931</v>
      </c>
      <c r="G20" s="141">
        <v>518285</v>
      </c>
      <c r="H20" s="141">
        <v>106321.48</v>
      </c>
      <c r="I20" s="141">
        <v>321742.61</v>
      </c>
      <c r="J20" s="141">
        <v>8009.61</v>
      </c>
      <c r="K20" s="141">
        <v>0</v>
      </c>
      <c r="L20" s="142">
        <v>0</v>
      </c>
      <c r="N20" t="str">
        <f>IF(L9&gt;=L14,IF(L9=L21+L24+L27,IF(L10+L11+L12+L13=L21+L24+L27,IF(L5=L19+L22+L25,IF(L8=L20+L23+L26,"OK","Pārbaudi tabulu 2.2 G8, G20, G23, G26"),"Pārbaudi tabalu 2.2 G5, G19, G22, G25"),"Pārbaudi tabulu 2.2 G10, G11, G12, G13, G21, G24, G27"),"Pārbaudi tabulu 2.2 G9, G21, G24, G27"),"Pārbaudi tabulu 2.2 G9, G14")</f>
        <v>OK</v>
      </c>
      <c r="O20" t="str">
        <f>IF(SUM(K5:K36)=0,"OK",IF(K10+K11+K12+K13=K9,IF(AND(K5&gt;0,K8&gt;0,K9&gt;0,MAX(K21,K24,K27)&lt;=K9,K13+K12+K11+K10&lt;=K21+K24+K27),IF(K14&lt;=K9,IF(K5=K19+K22+K25,"OK","Pārbaudi tabulā 2.2 K5, K19, K22, K25"),"Pārbaudi tabulā 2.2 K9, K14"),"Pārbaudi tabulā 2.2 K10, K11, K12, K13, K21, K24, K27"),"Pārbaudi tabulā 2.2 K9, K10, K11, K12, K13"))</f>
        <v>OK</v>
      </c>
    </row>
    <row r="21" spans="1:15" s="1" customFormat="1" ht="54.75" customHeight="1">
      <c r="A21" s="478"/>
      <c r="B21" s="468"/>
      <c r="C21" s="462" t="s">
        <v>183</v>
      </c>
      <c r="D21" s="468"/>
      <c r="E21" s="96" t="s">
        <v>390</v>
      </c>
      <c r="F21" s="63" t="s">
        <v>67</v>
      </c>
      <c r="G21" s="141">
        <v>43</v>
      </c>
      <c r="H21" s="141">
        <v>27</v>
      </c>
      <c r="I21" s="141">
        <v>76</v>
      </c>
      <c r="J21" s="141">
        <v>6</v>
      </c>
      <c r="K21" s="141">
        <v>0</v>
      </c>
      <c r="L21" s="142">
        <v>0</v>
      </c>
      <c r="O21" t="str">
        <f>IF(SUM(L5:L36)=0,"OK",IF(L10+L11+L12+L13=L9,IF(AND(L5&gt;0,L8&gt;0,L9&gt;0,MAX(L21,L24,L27)&lt;=L9,L13+L12+L11+L10&lt;=L21+L24+L27),IF(L14&lt;=L9,IF(L5=L19+L22+L25,"OK","Pārbaudi tabulā 2.2 L5, L19, L22, L25"),"Pārbaudi tabulā 2.2 L9, L14"),"Pārbaudi tabulā 2.2 L10, L11, L12, L13, L21, L24, L27"),"Pārbaudi tabulā 2.2 L9, L10, L11, L12, L13"))</f>
        <v>OK</v>
      </c>
    </row>
    <row r="22" spans="1:12" s="1" customFormat="1" ht="44.25" customHeight="1">
      <c r="A22" s="677"/>
      <c r="B22" s="462" t="s">
        <v>205</v>
      </c>
      <c r="C22" s="462" t="s">
        <v>133</v>
      </c>
      <c r="D22" s="468"/>
      <c r="E22" s="96" t="s">
        <v>391</v>
      </c>
      <c r="F22" s="63" t="s">
        <v>144</v>
      </c>
      <c r="G22" s="141"/>
      <c r="H22" s="141">
        <v>5</v>
      </c>
      <c r="I22" s="141">
        <v>1</v>
      </c>
      <c r="J22" s="141">
        <v>5</v>
      </c>
      <c r="K22" s="141">
        <v>0</v>
      </c>
      <c r="L22" s="142">
        <v>0</v>
      </c>
    </row>
    <row r="23" spans="1:12" s="1" customFormat="1" ht="30" customHeight="1">
      <c r="A23" s="677"/>
      <c r="B23" s="468"/>
      <c r="C23" s="462" t="s">
        <v>138</v>
      </c>
      <c r="D23" s="468"/>
      <c r="E23" s="96" t="s">
        <v>392</v>
      </c>
      <c r="F23" s="242" t="s">
        <v>931</v>
      </c>
      <c r="G23" s="141"/>
      <c r="H23" s="141">
        <v>40355.72</v>
      </c>
      <c r="I23" s="141">
        <v>55491.6</v>
      </c>
      <c r="J23" s="141">
        <v>115282.58</v>
      </c>
      <c r="K23" s="141">
        <v>0</v>
      </c>
      <c r="L23" s="142">
        <v>0</v>
      </c>
    </row>
    <row r="24" spans="1:12" s="1" customFormat="1" ht="51.75" customHeight="1">
      <c r="A24" s="677"/>
      <c r="B24" s="468"/>
      <c r="C24" s="462" t="s">
        <v>183</v>
      </c>
      <c r="D24" s="468"/>
      <c r="E24" s="96" t="s">
        <v>393</v>
      </c>
      <c r="F24" s="63" t="s">
        <v>67</v>
      </c>
      <c r="G24" s="141"/>
      <c r="H24" s="141">
        <v>5</v>
      </c>
      <c r="I24" s="141">
        <v>6</v>
      </c>
      <c r="J24" s="141">
        <v>20</v>
      </c>
      <c r="K24" s="141">
        <v>0</v>
      </c>
      <c r="L24" s="142">
        <v>0</v>
      </c>
    </row>
    <row r="25" spans="1:12" s="1" customFormat="1" ht="51" customHeight="1">
      <c r="A25" s="677"/>
      <c r="B25" s="462" t="s">
        <v>206</v>
      </c>
      <c r="C25" s="462" t="s">
        <v>133</v>
      </c>
      <c r="D25" s="468"/>
      <c r="E25" s="96" t="s">
        <v>394</v>
      </c>
      <c r="F25" s="63" t="s">
        <v>144</v>
      </c>
      <c r="G25" s="141">
        <v>0</v>
      </c>
      <c r="H25" s="141">
        <v>0</v>
      </c>
      <c r="I25" s="141">
        <v>0</v>
      </c>
      <c r="J25" s="141">
        <v>0</v>
      </c>
      <c r="K25" s="141">
        <v>0</v>
      </c>
      <c r="L25" s="142">
        <v>0</v>
      </c>
    </row>
    <row r="26" spans="1:12" s="1" customFormat="1" ht="39" customHeight="1">
      <c r="A26" s="677"/>
      <c r="B26" s="468"/>
      <c r="C26" s="462" t="s">
        <v>138</v>
      </c>
      <c r="D26" s="468"/>
      <c r="E26" s="96" t="s">
        <v>395</v>
      </c>
      <c r="F26" s="242" t="s">
        <v>931</v>
      </c>
      <c r="G26" s="141">
        <v>0</v>
      </c>
      <c r="H26" s="141">
        <v>0</v>
      </c>
      <c r="I26" s="141">
        <v>0</v>
      </c>
      <c r="J26" s="141">
        <v>0</v>
      </c>
      <c r="K26" s="141">
        <v>0</v>
      </c>
      <c r="L26" s="142">
        <v>0</v>
      </c>
    </row>
    <row r="27" spans="1:12" s="1" customFormat="1" ht="61.5" customHeight="1" thickBot="1">
      <c r="A27" s="678"/>
      <c r="B27" s="657"/>
      <c r="C27" s="473" t="s">
        <v>183</v>
      </c>
      <c r="D27" s="657"/>
      <c r="E27" s="103" t="s">
        <v>396</v>
      </c>
      <c r="F27" s="69" t="s">
        <v>67</v>
      </c>
      <c r="G27" s="143">
        <v>0</v>
      </c>
      <c r="H27" s="143">
        <v>0</v>
      </c>
      <c r="I27" s="143">
        <v>0</v>
      </c>
      <c r="J27" s="143">
        <v>0</v>
      </c>
      <c r="K27" s="143">
        <v>0</v>
      </c>
      <c r="L27" s="144">
        <v>0</v>
      </c>
    </row>
    <row r="28" spans="5:6" s="1" customFormat="1" ht="30" customHeight="1">
      <c r="E28" s="94"/>
      <c r="F28" s="65"/>
    </row>
    <row r="29" spans="5:6" s="1" customFormat="1" ht="30" customHeight="1">
      <c r="E29" s="94"/>
      <c r="F29" s="65"/>
    </row>
    <row r="30" spans="5:6" s="1" customFormat="1" ht="30" customHeight="1">
      <c r="E30" s="94"/>
      <c r="F30" s="65"/>
    </row>
    <row r="31" spans="5:6" s="1" customFormat="1" ht="30" customHeight="1">
      <c r="E31" s="94"/>
      <c r="F31" s="65"/>
    </row>
  </sheetData>
  <sheetProtection password="CE88" sheet="1" objects="1" scenarios="1"/>
  <mergeCells count="37">
    <mergeCell ref="A1:L1"/>
    <mergeCell ref="A2:D4"/>
    <mergeCell ref="E2:E4"/>
    <mergeCell ref="F2:F4"/>
    <mergeCell ref="G2:G4"/>
    <mergeCell ref="H2:L2"/>
    <mergeCell ref="H3:H4"/>
    <mergeCell ref="I3:J3"/>
    <mergeCell ref="K3:L3"/>
    <mergeCell ref="C16:D16"/>
    <mergeCell ref="C17:D17"/>
    <mergeCell ref="B5:D5"/>
    <mergeCell ref="B6:D6"/>
    <mergeCell ref="B7:D7"/>
    <mergeCell ref="B8:D8"/>
    <mergeCell ref="B9:D9"/>
    <mergeCell ref="B10:B13"/>
    <mergeCell ref="C10:C11"/>
    <mergeCell ref="B18:D18"/>
    <mergeCell ref="A5:A18"/>
    <mergeCell ref="B19:B21"/>
    <mergeCell ref="C19:D19"/>
    <mergeCell ref="C20:D20"/>
    <mergeCell ref="C21:D21"/>
    <mergeCell ref="C12:C13"/>
    <mergeCell ref="B14:D14"/>
    <mergeCell ref="B15:D15"/>
    <mergeCell ref="B16:B17"/>
    <mergeCell ref="A19:A27"/>
    <mergeCell ref="B22:B24"/>
    <mergeCell ref="C22:D22"/>
    <mergeCell ref="C23:D23"/>
    <mergeCell ref="C24:D24"/>
    <mergeCell ref="B25:B27"/>
    <mergeCell ref="C25:D25"/>
    <mergeCell ref="C26:D26"/>
    <mergeCell ref="C27:D27"/>
  </mergeCells>
  <printOptions/>
  <pageMargins left="0.67" right="0.68" top="0.57" bottom="0.67" header="0.36" footer="0.39"/>
  <pageSetup horizontalDpi="1200" verticalDpi="1200" orientation="landscape" paperSize="9" r:id="rId1"/>
  <headerFooter alignWithMargins="0">
    <oddFooter>&amp;R11 - 12</oddFooter>
  </headerFooter>
</worksheet>
</file>

<file path=xl/worksheets/sheet12.xml><?xml version="1.0" encoding="utf-8"?>
<worksheet xmlns="http://schemas.openxmlformats.org/spreadsheetml/2006/main" xmlns:r="http://schemas.openxmlformats.org/officeDocument/2006/relationships">
  <dimension ref="A1:O24"/>
  <sheetViews>
    <sheetView zoomScalePageLayoutView="0" workbookViewId="0" topLeftCell="A4">
      <selection activeCell="H22" sqref="H22"/>
    </sheetView>
  </sheetViews>
  <sheetFormatPr defaultColWidth="9.140625" defaultRowHeight="12.75"/>
  <cols>
    <col min="1" max="1" width="10.7109375" style="0" customWidth="1"/>
    <col min="2" max="2" width="12.28125" style="0" customWidth="1"/>
    <col min="3" max="3" width="10.28125" style="0" customWidth="1"/>
    <col min="4" max="4" width="13.00390625" style="0" customWidth="1"/>
    <col min="5" max="5" width="9.28125" style="99" customWidth="1"/>
    <col min="6" max="6" width="12.57421875" style="0" customWidth="1"/>
    <col min="7" max="7" width="11.140625" style="0" customWidth="1"/>
    <col min="8" max="8" width="9.421875" style="0" customWidth="1"/>
    <col min="9" max="10" width="10.28125" style="0" customWidth="1"/>
    <col min="11" max="12" width="10.421875" style="0" customWidth="1"/>
  </cols>
  <sheetData>
    <row r="1" spans="1:12" ht="20.25" customHeight="1" thickBot="1">
      <c r="A1" s="684" t="s">
        <v>226</v>
      </c>
      <c r="B1" s="685"/>
      <c r="C1" s="685"/>
      <c r="D1" s="685"/>
      <c r="E1" s="685"/>
      <c r="F1" s="685"/>
      <c r="G1" s="685"/>
      <c r="H1" s="685"/>
      <c r="I1" s="685"/>
      <c r="J1" s="685"/>
      <c r="K1" s="685"/>
      <c r="L1" s="685"/>
    </row>
    <row r="2" spans="1:12" ht="12.75">
      <c r="A2" s="649" t="s">
        <v>124</v>
      </c>
      <c r="B2" s="641"/>
      <c r="C2" s="641"/>
      <c r="D2" s="650"/>
      <c r="E2" s="646" t="s">
        <v>60</v>
      </c>
      <c r="F2" s="641" t="s">
        <v>61</v>
      </c>
      <c r="G2" s="641" t="s">
        <v>125</v>
      </c>
      <c r="H2" s="641" t="s">
        <v>126</v>
      </c>
      <c r="I2" s="641"/>
      <c r="J2" s="641"/>
      <c r="K2" s="641"/>
      <c r="L2" s="642"/>
    </row>
    <row r="3" spans="1:12" ht="29.25" customHeight="1">
      <c r="A3" s="651"/>
      <c r="B3" s="652"/>
      <c r="C3" s="652"/>
      <c r="D3" s="653"/>
      <c r="E3" s="647"/>
      <c r="F3" s="643"/>
      <c r="G3" s="643"/>
      <c r="H3" s="643" t="s">
        <v>127</v>
      </c>
      <c r="I3" s="643" t="s">
        <v>128</v>
      </c>
      <c r="J3" s="643"/>
      <c r="K3" s="643" t="s">
        <v>129</v>
      </c>
      <c r="L3" s="645"/>
    </row>
    <row r="4" spans="1:12" ht="37.5" customHeight="1" thickBot="1">
      <c r="A4" s="654"/>
      <c r="B4" s="655"/>
      <c r="C4" s="655"/>
      <c r="D4" s="656"/>
      <c r="E4" s="648"/>
      <c r="F4" s="644"/>
      <c r="G4" s="644"/>
      <c r="H4" s="644"/>
      <c r="I4" s="80" t="s">
        <v>130</v>
      </c>
      <c r="J4" s="80" t="s">
        <v>131</v>
      </c>
      <c r="K4" s="80" t="s">
        <v>130</v>
      </c>
      <c r="L4" s="81" t="s">
        <v>131</v>
      </c>
    </row>
    <row r="5" spans="1:14" ht="25.5">
      <c r="A5" s="636" t="s">
        <v>184</v>
      </c>
      <c r="B5" s="639" t="s">
        <v>133</v>
      </c>
      <c r="C5" s="683"/>
      <c r="D5" s="683"/>
      <c r="E5" s="109">
        <v>231</v>
      </c>
      <c r="F5" s="82" t="s">
        <v>144</v>
      </c>
      <c r="G5" s="120">
        <f aca="true" t="shared" si="0" ref="G5:L5">G19+G22</f>
        <v>0</v>
      </c>
      <c r="H5" s="120">
        <f t="shared" si="0"/>
        <v>1</v>
      </c>
      <c r="I5" s="120">
        <f t="shared" si="0"/>
        <v>0</v>
      </c>
      <c r="J5" s="120">
        <f t="shared" si="0"/>
        <v>0</v>
      </c>
      <c r="K5" s="120">
        <f t="shared" si="0"/>
        <v>0</v>
      </c>
      <c r="L5" s="134">
        <f t="shared" si="0"/>
        <v>0</v>
      </c>
      <c r="N5" s="84"/>
    </row>
    <row r="6" spans="1:14" ht="12.75">
      <c r="A6" s="679"/>
      <c r="B6" s="462" t="s">
        <v>136</v>
      </c>
      <c r="C6" s="471"/>
      <c r="D6" s="471"/>
      <c r="E6" s="92">
        <v>232</v>
      </c>
      <c r="F6" s="75" t="s">
        <v>67</v>
      </c>
      <c r="G6" s="141">
        <v>0</v>
      </c>
      <c r="H6" s="62" t="s">
        <v>145</v>
      </c>
      <c r="I6" s="62" t="s">
        <v>145</v>
      </c>
      <c r="J6" s="62" t="s">
        <v>145</v>
      </c>
      <c r="K6" s="62" t="s">
        <v>145</v>
      </c>
      <c r="L6" s="67" t="s">
        <v>145</v>
      </c>
      <c r="M6" s="190"/>
      <c r="N6" s="84"/>
    </row>
    <row r="7" spans="1:15" ht="12.75">
      <c r="A7" s="679"/>
      <c r="B7" s="462" t="s">
        <v>137</v>
      </c>
      <c r="C7" s="471"/>
      <c r="D7" s="471"/>
      <c r="E7" s="96">
        <v>2321</v>
      </c>
      <c r="F7" s="75" t="s">
        <v>67</v>
      </c>
      <c r="G7" s="141">
        <v>0</v>
      </c>
      <c r="H7" s="62" t="s">
        <v>145</v>
      </c>
      <c r="I7" s="62" t="s">
        <v>145</v>
      </c>
      <c r="J7" s="62" t="s">
        <v>145</v>
      </c>
      <c r="K7" s="62" t="s">
        <v>145</v>
      </c>
      <c r="L7" s="67" t="s">
        <v>145</v>
      </c>
      <c r="M7" s="190" t="str">
        <f>IF(G7&lt;=G6,"OK","Sociālā darba speciālistu skaits pārsniedz kopējo darbinieku skaitu pārskata gada beigās!")</f>
        <v>OK</v>
      </c>
      <c r="N7" s="84"/>
      <c r="O7" t="str">
        <f>IF(AND(SUM(G5:L5)&gt;0,OR(SUM(G20:L20)&gt;0,SUM(G23:L23)&gt;0,SUM(G23:L23)&gt;0)),"OK",IF(SUM(G5:L24)=0,"OK","Pārbaudi naudu, cilvēku vai institūciju skaitu"))</f>
        <v>OK</v>
      </c>
    </row>
    <row r="8" spans="1:14" ht="12.75">
      <c r="A8" s="679"/>
      <c r="B8" s="462" t="s">
        <v>138</v>
      </c>
      <c r="C8" s="471"/>
      <c r="D8" s="471"/>
      <c r="E8" s="92" t="s">
        <v>397</v>
      </c>
      <c r="F8" s="240" t="s">
        <v>931</v>
      </c>
      <c r="G8" s="119">
        <f aca="true" t="shared" si="1" ref="G8:L8">G20+G23</f>
        <v>0</v>
      </c>
      <c r="H8" s="119">
        <f t="shared" si="1"/>
        <v>135</v>
      </c>
      <c r="I8" s="119">
        <f t="shared" si="1"/>
        <v>0</v>
      </c>
      <c r="J8" s="119">
        <f t="shared" si="1"/>
        <v>0</v>
      </c>
      <c r="K8" s="119">
        <f t="shared" si="1"/>
        <v>0</v>
      </c>
      <c r="L8" s="125">
        <f t="shared" si="1"/>
        <v>0</v>
      </c>
      <c r="N8" s="84"/>
    </row>
    <row r="9" spans="1:14" ht="12.75">
      <c r="A9" s="679"/>
      <c r="B9" s="462" t="s">
        <v>139</v>
      </c>
      <c r="C9" s="471"/>
      <c r="D9" s="471"/>
      <c r="E9" s="92">
        <v>234</v>
      </c>
      <c r="F9" s="75" t="s">
        <v>67</v>
      </c>
      <c r="G9" s="119">
        <f aca="true" t="shared" si="2" ref="G9:L9">G10+G11+G12+G13</f>
        <v>0</v>
      </c>
      <c r="H9" s="119">
        <f t="shared" si="2"/>
        <v>2</v>
      </c>
      <c r="I9" s="119">
        <f t="shared" si="2"/>
        <v>0</v>
      </c>
      <c r="J9" s="119">
        <f t="shared" si="2"/>
        <v>0</v>
      </c>
      <c r="K9" s="119">
        <f t="shared" si="2"/>
        <v>0</v>
      </c>
      <c r="L9" s="125">
        <f t="shared" si="2"/>
        <v>0</v>
      </c>
      <c r="M9" s="190" t="str">
        <f>IF(AND((G9=G21+G24),(H9=H21+H24),(I9=I21+I24),(J9=J21+J24),(K9=K21+K24),(L9=L21+L24)),"OK","Pārbaudiet pilngadīgo personu un mājsaimniecību ar bērnu skaitu, tas pārsniedz kopējo pakalpojumu saņēmušo klientu skaitu!")</f>
        <v>OK</v>
      </c>
      <c r="N9" s="191"/>
    </row>
    <row r="10" spans="1:14" ht="12.75">
      <c r="A10" s="679"/>
      <c r="B10" s="475" t="s">
        <v>74</v>
      </c>
      <c r="C10" s="466" t="s">
        <v>140</v>
      </c>
      <c r="D10" s="55" t="s">
        <v>142</v>
      </c>
      <c r="E10" s="95" t="s">
        <v>398</v>
      </c>
      <c r="F10" s="75" t="s">
        <v>67</v>
      </c>
      <c r="G10" s="141">
        <v>0</v>
      </c>
      <c r="H10" s="141">
        <v>0</v>
      </c>
      <c r="I10" s="141">
        <v>0</v>
      </c>
      <c r="J10" s="141">
        <v>0</v>
      </c>
      <c r="K10" s="141">
        <v>0</v>
      </c>
      <c r="L10" s="142">
        <v>0</v>
      </c>
      <c r="N10" s="84"/>
    </row>
    <row r="11" spans="1:14" ht="12.75">
      <c r="A11" s="679"/>
      <c r="B11" s="475"/>
      <c r="C11" s="466"/>
      <c r="D11" s="55" t="s">
        <v>143</v>
      </c>
      <c r="E11" s="95" t="s">
        <v>399</v>
      </c>
      <c r="F11" s="75" t="s">
        <v>67</v>
      </c>
      <c r="G11" s="141">
        <v>0</v>
      </c>
      <c r="H11" s="141">
        <v>0</v>
      </c>
      <c r="I11" s="141">
        <v>0</v>
      </c>
      <c r="J11" s="141">
        <v>0</v>
      </c>
      <c r="K11" s="141">
        <v>0</v>
      </c>
      <c r="L11" s="142">
        <v>0</v>
      </c>
      <c r="N11" s="84"/>
    </row>
    <row r="12" spans="1:15" ht="12.75">
      <c r="A12" s="679"/>
      <c r="B12" s="475"/>
      <c r="C12" s="466" t="s">
        <v>141</v>
      </c>
      <c r="D12" s="55" t="s">
        <v>142</v>
      </c>
      <c r="E12" s="95" t="s">
        <v>400</v>
      </c>
      <c r="F12" s="75" t="s">
        <v>67</v>
      </c>
      <c r="G12" s="141">
        <v>0</v>
      </c>
      <c r="H12" s="141">
        <v>2</v>
      </c>
      <c r="I12" s="141">
        <v>0</v>
      </c>
      <c r="J12" s="141">
        <v>0</v>
      </c>
      <c r="K12" s="141">
        <v>0</v>
      </c>
      <c r="L12" s="142">
        <v>0</v>
      </c>
      <c r="O12" t="str">
        <f>IF(SUM(G5:G24)=0,"OK",IF(G5&gt;0,IF(G9&gt;=G14,IF(G9=G21+G24,IF(G10+G11+G12+G13=G21+G24,IF(G5=G19+G22,IF(G8=G20+G23,"OK","Pārbaudi tabulu 2.3 G8, G20, G23"),"Pārbaudi tabulā 2.3 G5, G19, G22"),"Pārbaudi tabulā 2.3 G10, G11, G12, G13, G21, G24"),"Pārbaudi tabulā 2.3 G9, G21, G24"),"Pārbaudīt tabulā 2.3 G9, G14"),"Pārbauditabulā2.3G5"))</f>
        <v>OK</v>
      </c>
    </row>
    <row r="13" spans="1:12" ht="12.75">
      <c r="A13" s="679"/>
      <c r="B13" s="475"/>
      <c r="C13" s="466"/>
      <c r="D13" s="55" t="s">
        <v>143</v>
      </c>
      <c r="E13" s="95" t="s">
        <v>401</v>
      </c>
      <c r="F13" s="75" t="s">
        <v>67</v>
      </c>
      <c r="G13" s="141">
        <v>0</v>
      </c>
      <c r="H13" s="141">
        <v>0</v>
      </c>
      <c r="I13" s="141">
        <v>0</v>
      </c>
      <c r="J13" s="141">
        <v>0</v>
      </c>
      <c r="K13" s="141">
        <v>0</v>
      </c>
      <c r="L13" s="142">
        <v>0</v>
      </c>
    </row>
    <row r="14" spans="1:13" ht="27.75" customHeight="1">
      <c r="A14" s="680"/>
      <c r="B14" s="462" t="s">
        <v>152</v>
      </c>
      <c r="C14" s="468"/>
      <c r="D14" s="468"/>
      <c r="E14" s="96" t="s">
        <v>402</v>
      </c>
      <c r="F14" s="75" t="s">
        <v>67</v>
      </c>
      <c r="G14" s="141">
        <v>0</v>
      </c>
      <c r="H14" s="141">
        <v>2</v>
      </c>
      <c r="I14" s="141">
        <v>0</v>
      </c>
      <c r="J14" s="141">
        <v>0</v>
      </c>
      <c r="K14" s="141">
        <v>0</v>
      </c>
      <c r="L14" s="142">
        <v>0</v>
      </c>
      <c r="M14" s="190" t="str">
        <f>IF(AND(G14&lt;=G9,H14&lt;=H6,I14&lt;=I6,J14&lt;=J6,K14&lt;=K6,L14&lt;=L9),"OK","Klientu skaits, kuriem pakalpojumu pilnībā vai daļēji apmaksā pašvaldība, ir lielāks par kopējo pakalpojumu saņēmušo klientu skaitu!")</f>
        <v>OK</v>
      </c>
    </row>
    <row r="15" spans="1:12" ht="15.75" customHeight="1">
      <c r="A15" s="680"/>
      <c r="B15" s="462" t="s">
        <v>169</v>
      </c>
      <c r="C15" s="468"/>
      <c r="D15" s="468"/>
      <c r="E15" s="92" t="s">
        <v>404</v>
      </c>
      <c r="F15" s="63" t="s">
        <v>67</v>
      </c>
      <c r="G15" s="119">
        <f aca="true" t="shared" si="3" ref="G15:L15">G16+G17</f>
        <v>0</v>
      </c>
      <c r="H15" s="119">
        <f t="shared" si="3"/>
        <v>0</v>
      </c>
      <c r="I15" s="119">
        <f t="shared" si="3"/>
        <v>0</v>
      </c>
      <c r="J15" s="119">
        <f t="shared" si="3"/>
        <v>0</v>
      </c>
      <c r="K15" s="119">
        <f t="shared" si="3"/>
        <v>0</v>
      </c>
      <c r="L15" s="125">
        <f t="shared" si="3"/>
        <v>0</v>
      </c>
    </row>
    <row r="16" spans="1:15" ht="12.75">
      <c r="A16" s="680"/>
      <c r="B16" s="462" t="s">
        <v>170</v>
      </c>
      <c r="C16" s="462" t="s">
        <v>171</v>
      </c>
      <c r="D16" s="663"/>
      <c r="E16" s="96" t="s">
        <v>403</v>
      </c>
      <c r="F16" s="63" t="s">
        <v>67</v>
      </c>
      <c r="G16" s="141">
        <v>0</v>
      </c>
      <c r="H16" s="141">
        <v>0</v>
      </c>
      <c r="I16" s="141">
        <v>0</v>
      </c>
      <c r="J16" s="141">
        <v>0</v>
      </c>
      <c r="K16" s="141">
        <v>0</v>
      </c>
      <c r="L16" s="142">
        <v>0</v>
      </c>
      <c r="O16" t="str">
        <f>IF(SUM(G5:G36)=0,"OK",IF(G10+G11+G12+G13=G9,IF(AND(G5&gt;0,G8&gt;0,G9&gt;0,MAX(G21,G24,)&lt;=G9,G13+G12+G11+G10&lt;=G21+G24),IF(G14&lt;=G9,IF(G5=G19+G22,"OK","Pārbaudi tabulā 2.3 G5, G19, G22"),"Pārbaudi tabulā 2.3 G9, G14"),"Pārbaudi tabulā 2.3 G10, G11, G12, G13, G21, G24"),"Pārbaudi tabulā 2.3 G9, G10, G11, G12, G13"))</f>
        <v>OK</v>
      </c>
    </row>
    <row r="17" spans="1:15" ht="12.75">
      <c r="A17" s="680"/>
      <c r="B17" s="663"/>
      <c r="C17" s="462" t="s">
        <v>172</v>
      </c>
      <c r="D17" s="663"/>
      <c r="E17" s="96" t="s">
        <v>405</v>
      </c>
      <c r="F17" s="63" t="s">
        <v>67</v>
      </c>
      <c r="G17" s="141">
        <v>0</v>
      </c>
      <c r="H17" s="141">
        <v>0</v>
      </c>
      <c r="I17" s="141">
        <v>0</v>
      </c>
      <c r="J17" s="141">
        <v>0</v>
      </c>
      <c r="K17" s="141">
        <v>0</v>
      </c>
      <c r="L17" s="142">
        <v>0</v>
      </c>
      <c r="O17" t="str">
        <f>IF(SUM(H5:H36)=0,"OK",IF(H10+H11+H12+H13=H9,IF(AND(H5&gt;0,H8&gt;0,H9&gt;0,MAX(H21,H24)&lt;=H9,H13+H12+H11+H10&lt;=H21+H24),IF(H14&lt;=H9,IF(H5=H19+H22,"OK","Pārbaudi tabulā 2.3 H5, H19, H22"),"Pārbaudi tabulā 2.3 H9, H14"),"Pārbaudi tabulā 2.3 H10, H11, H12, H13, H21, H24"),"Pārbaudi tabulā 2.3 H9, H10, H11, H12, H13"))</f>
        <v>OK</v>
      </c>
    </row>
    <row r="18" spans="1:15" ht="27" customHeight="1" thickBot="1">
      <c r="A18" s="681"/>
      <c r="B18" s="473" t="s">
        <v>173</v>
      </c>
      <c r="C18" s="671"/>
      <c r="D18" s="671"/>
      <c r="E18" s="93" t="s">
        <v>406</v>
      </c>
      <c r="F18" s="69" t="s">
        <v>67</v>
      </c>
      <c r="G18" s="143">
        <v>0</v>
      </c>
      <c r="H18" s="143">
        <v>0</v>
      </c>
      <c r="I18" s="143">
        <v>0</v>
      </c>
      <c r="J18" s="143">
        <v>0</v>
      </c>
      <c r="K18" s="143">
        <v>0</v>
      </c>
      <c r="L18" s="144">
        <v>0</v>
      </c>
      <c r="O18" t="str">
        <f>IF(SUM(I5:I36)=0,"OK",IF(I10+I11+I12+I13=I9,IF(AND(I5&gt;0,I8&gt;0,I9&gt;0,MAX(I21,I24)&lt;=I9,I13+I12+I11+I10&lt;=I21+I24),IF(I14&lt;=I9,IF(I5=I19+I22,"OK","Pārbaudi tabulā 2.3 I5, I19, I22"),"Pārbaudi tabulā 2.3 I9, I14"),"Pārbaudi tabulā 2.3 I10, I11, I12, I13, I21, I24"),"Pārbaudi tabulā 2.3 I9, I10, I11, I12, I13"))</f>
        <v>OK</v>
      </c>
    </row>
    <row r="19" spans="1:15" ht="30" customHeight="1">
      <c r="A19" s="668" t="s">
        <v>74</v>
      </c>
      <c r="B19" s="460" t="s">
        <v>207</v>
      </c>
      <c r="C19" s="460" t="s">
        <v>133</v>
      </c>
      <c r="D19" s="682"/>
      <c r="E19" s="102" t="s">
        <v>742</v>
      </c>
      <c r="F19" s="71" t="s">
        <v>144</v>
      </c>
      <c r="G19" s="145">
        <v>0</v>
      </c>
      <c r="H19" s="145">
        <v>1</v>
      </c>
      <c r="I19" s="145">
        <v>0</v>
      </c>
      <c r="J19" s="145">
        <v>0</v>
      </c>
      <c r="K19" s="145">
        <v>0</v>
      </c>
      <c r="L19" s="146">
        <v>0</v>
      </c>
      <c r="O19" t="str">
        <f>IF(SUM(J5:J36)=0,"OK",IF(J10+J11+J12+J13=J9,IF(AND(J5&gt;0,J8&gt;0,J9&gt;0,MAX(J21,J24)&lt;=J9,J13+J12+J11+J10&lt;=J21+J24),IF(J14&lt;=J9,IF(J5=J19+J22,"OK","Pārbaudi tabulā 2.3 J5, J19, J22"),"Pārbaudi tabulā 2.3 J9, J14"),"Pārbaudi tabulā 2.3 J10, J11, J12, J13, J21, J24"),"Pārbaudi tabulā 2.3 J9, J10, J11, J12, J13"))</f>
        <v>OK</v>
      </c>
    </row>
    <row r="20" spans="1:15" ht="24.75" customHeight="1">
      <c r="A20" s="478"/>
      <c r="B20" s="468"/>
      <c r="C20" s="462" t="s">
        <v>138</v>
      </c>
      <c r="D20" s="468"/>
      <c r="E20" s="96" t="s">
        <v>743</v>
      </c>
      <c r="F20" s="242" t="s">
        <v>931</v>
      </c>
      <c r="G20" s="141">
        <v>0</v>
      </c>
      <c r="H20" s="141">
        <v>135</v>
      </c>
      <c r="I20" s="141">
        <v>0</v>
      </c>
      <c r="J20" s="141">
        <v>0</v>
      </c>
      <c r="K20" s="141">
        <v>0</v>
      </c>
      <c r="L20" s="142">
        <v>0</v>
      </c>
      <c r="O20" t="str">
        <f>IF(SUM(K5:K36)=0,"OK",IF(K10+K11+K12+K13=K9,IF(AND(K5&gt;0,K8&gt;0,K9&gt;0,MAX(K21,K24)&lt;=K9,K13+K12+K11+K10&lt;=K21+K24),IF(K14&lt;=K9,IF(K5=K19+K22,"OK","Pārbaudi tabulā 2.3 K5, K19, K22"),"Pārbaudi tabulā 2.3 K9, K14"),"Pārbaudi tabulā 2.3 K10, K11, K12, K13, K21, K24"),"Pārbaudi tabulā 2.3 K9, K10, K11, K12, K13"))</f>
        <v>OK</v>
      </c>
    </row>
    <row r="21" spans="1:15" ht="45" customHeight="1">
      <c r="A21" s="478"/>
      <c r="B21" s="468"/>
      <c r="C21" s="462" t="s">
        <v>183</v>
      </c>
      <c r="D21" s="468"/>
      <c r="E21" s="96" t="s">
        <v>744</v>
      </c>
      <c r="F21" s="63" t="s">
        <v>67</v>
      </c>
      <c r="G21" s="141">
        <v>0</v>
      </c>
      <c r="H21" s="141">
        <v>2</v>
      </c>
      <c r="I21" s="141">
        <v>0</v>
      </c>
      <c r="J21" s="141">
        <v>0</v>
      </c>
      <c r="K21" s="141">
        <v>0</v>
      </c>
      <c r="L21" s="142">
        <v>0</v>
      </c>
      <c r="O21" t="str">
        <f>IF(SUM(L5:L36)=0,"OK",IF(L10+L11+L12+L13=L9,IF(AND(L5&gt;0,L8&gt;0,L9&gt;0,MAX(L21,L24)&lt;=L9,L13+L12+L11+L10&lt;=L21+L24),IF(L14&lt;=L9,IF(L5=L19+L22,"OK","Pārbaudi tabulā 2.3 L5, L19, L22"),"Pārbaudi tabulā 2.3 L9, L14"),"Pārbaudi tabulā 2.3 L10, L11, L12, L13, L21, L24"),"Pārbaudi tabulā 2.3 L9, L10, L11, L12, L13"))</f>
        <v>OK</v>
      </c>
    </row>
    <row r="22" spans="1:12" ht="26.25" customHeight="1">
      <c r="A22" s="677"/>
      <c r="B22" s="462" t="s">
        <v>208</v>
      </c>
      <c r="C22" s="462" t="s">
        <v>133</v>
      </c>
      <c r="D22" s="468"/>
      <c r="E22" s="96" t="s">
        <v>745</v>
      </c>
      <c r="F22" s="63" t="s">
        <v>144</v>
      </c>
      <c r="G22" s="141">
        <v>0</v>
      </c>
      <c r="H22" s="141">
        <v>0</v>
      </c>
      <c r="I22" s="141">
        <v>0</v>
      </c>
      <c r="J22" s="141">
        <v>0</v>
      </c>
      <c r="K22" s="141">
        <v>0</v>
      </c>
      <c r="L22" s="142">
        <v>0</v>
      </c>
    </row>
    <row r="23" spans="1:12" ht="21" customHeight="1">
      <c r="A23" s="677"/>
      <c r="B23" s="468"/>
      <c r="C23" s="462" t="s">
        <v>138</v>
      </c>
      <c r="D23" s="468"/>
      <c r="E23" s="96" t="s">
        <v>746</v>
      </c>
      <c r="F23" s="242" t="s">
        <v>931</v>
      </c>
      <c r="G23" s="141">
        <v>0</v>
      </c>
      <c r="H23" s="141">
        <v>0</v>
      </c>
      <c r="I23" s="141">
        <v>0</v>
      </c>
      <c r="J23" s="141">
        <v>0</v>
      </c>
      <c r="K23" s="141">
        <v>0</v>
      </c>
      <c r="L23" s="142">
        <v>0</v>
      </c>
    </row>
    <row r="24" spans="1:12" ht="41.25" customHeight="1" thickBot="1">
      <c r="A24" s="678"/>
      <c r="B24" s="657"/>
      <c r="C24" s="473" t="s">
        <v>183</v>
      </c>
      <c r="D24" s="657"/>
      <c r="E24" s="103" t="s">
        <v>747</v>
      </c>
      <c r="F24" s="69" t="s">
        <v>67</v>
      </c>
      <c r="G24" s="143">
        <v>0</v>
      </c>
      <c r="H24" s="143">
        <v>0</v>
      </c>
      <c r="I24" s="143">
        <v>0</v>
      </c>
      <c r="J24" s="143">
        <v>0</v>
      </c>
      <c r="K24" s="143">
        <v>0</v>
      </c>
      <c r="L24" s="144">
        <v>0</v>
      </c>
    </row>
  </sheetData>
  <sheetProtection password="CE88" sheet="1" objects="1" scenarios="1"/>
  <mergeCells count="33">
    <mergeCell ref="A1:L1"/>
    <mergeCell ref="A2:D4"/>
    <mergeCell ref="E2:E4"/>
    <mergeCell ref="F2:F4"/>
    <mergeCell ref="G2:G4"/>
    <mergeCell ref="H2:L2"/>
    <mergeCell ref="H3:H4"/>
    <mergeCell ref="I3:J3"/>
    <mergeCell ref="K3:L3"/>
    <mergeCell ref="B14:D14"/>
    <mergeCell ref="A19:A24"/>
    <mergeCell ref="B19:B21"/>
    <mergeCell ref="C19:D19"/>
    <mergeCell ref="C20:D20"/>
    <mergeCell ref="C21:D21"/>
    <mergeCell ref="A5:A18"/>
    <mergeCell ref="B22:B24"/>
    <mergeCell ref="C22:D22"/>
    <mergeCell ref="C23:D23"/>
    <mergeCell ref="C24:D24"/>
    <mergeCell ref="B15:D15"/>
    <mergeCell ref="B16:B17"/>
    <mergeCell ref="C16:D16"/>
    <mergeCell ref="C17:D17"/>
    <mergeCell ref="B18:D18"/>
    <mergeCell ref="B5:D5"/>
    <mergeCell ref="B6:D6"/>
    <mergeCell ref="B7:D7"/>
    <mergeCell ref="B8:D8"/>
    <mergeCell ref="B10:B13"/>
    <mergeCell ref="C10:C11"/>
    <mergeCell ref="C12:C13"/>
    <mergeCell ref="B9:D9"/>
  </mergeCells>
  <printOptions/>
  <pageMargins left="0.75" right="0.75" top="0.55" bottom="0.43" header="0.34" footer="0.25"/>
  <pageSetup horizontalDpi="1200" verticalDpi="1200" orientation="landscape" paperSize="9" r:id="rId1"/>
  <headerFooter alignWithMargins="0">
    <oddFooter>&amp;R13</oddFooter>
  </headerFooter>
</worksheet>
</file>

<file path=xl/worksheets/sheet13.xml><?xml version="1.0" encoding="utf-8"?>
<worksheet xmlns="http://schemas.openxmlformats.org/spreadsheetml/2006/main" xmlns:r="http://schemas.openxmlformats.org/officeDocument/2006/relationships">
  <dimension ref="A1:R36"/>
  <sheetViews>
    <sheetView zoomScalePageLayoutView="0" workbookViewId="0" topLeftCell="A4">
      <selection activeCell="G10" sqref="G10"/>
    </sheetView>
  </sheetViews>
  <sheetFormatPr defaultColWidth="9.140625" defaultRowHeight="12.75"/>
  <cols>
    <col min="1" max="1" width="11.00390625" style="0" customWidth="1"/>
    <col min="2" max="2" width="13.28125" style="0" customWidth="1"/>
    <col min="3" max="3" width="9.7109375" style="0" customWidth="1"/>
    <col min="4" max="4" width="14.57421875" style="0" customWidth="1"/>
    <col min="5" max="5" width="9.28125" style="99" customWidth="1"/>
    <col min="6" max="6" width="12.28125" style="0" customWidth="1"/>
    <col min="7" max="7" width="10.57421875" style="0" customWidth="1"/>
    <col min="8" max="8" width="9.7109375" style="0" customWidth="1"/>
    <col min="9" max="9" width="10.28125" style="0" customWidth="1"/>
    <col min="10" max="10" width="9.8515625" style="0" customWidth="1"/>
    <col min="11" max="11" width="9.7109375" style="0" customWidth="1"/>
    <col min="12" max="12" width="10.00390625" style="0" customWidth="1"/>
  </cols>
  <sheetData>
    <row r="1" spans="1:12" ht="21.75" customHeight="1" thickBot="1">
      <c r="A1" s="684" t="s">
        <v>227</v>
      </c>
      <c r="B1" s="685"/>
      <c r="C1" s="685"/>
      <c r="D1" s="685"/>
      <c r="E1" s="685"/>
      <c r="F1" s="685"/>
      <c r="G1" s="685"/>
      <c r="H1" s="685"/>
      <c r="I1" s="685"/>
      <c r="J1" s="685"/>
      <c r="K1" s="685"/>
      <c r="L1" s="685"/>
    </row>
    <row r="2" spans="1:12" ht="12.75">
      <c r="A2" s="649" t="s">
        <v>124</v>
      </c>
      <c r="B2" s="641"/>
      <c r="C2" s="641"/>
      <c r="D2" s="650"/>
      <c r="E2" s="646" t="s">
        <v>60</v>
      </c>
      <c r="F2" s="641" t="s">
        <v>61</v>
      </c>
      <c r="G2" s="641" t="s">
        <v>125</v>
      </c>
      <c r="H2" s="641" t="s">
        <v>126</v>
      </c>
      <c r="I2" s="641"/>
      <c r="J2" s="641"/>
      <c r="K2" s="641"/>
      <c r="L2" s="642"/>
    </row>
    <row r="3" spans="1:12" ht="27" customHeight="1">
      <c r="A3" s="651"/>
      <c r="B3" s="652"/>
      <c r="C3" s="652"/>
      <c r="D3" s="653"/>
      <c r="E3" s="647"/>
      <c r="F3" s="643"/>
      <c r="G3" s="643"/>
      <c r="H3" s="643" t="s">
        <v>127</v>
      </c>
      <c r="I3" s="643" t="s">
        <v>128</v>
      </c>
      <c r="J3" s="643"/>
      <c r="K3" s="643" t="s">
        <v>129</v>
      </c>
      <c r="L3" s="645"/>
    </row>
    <row r="4" spans="1:12" ht="36.75" customHeight="1" thickBot="1">
      <c r="A4" s="654"/>
      <c r="B4" s="655"/>
      <c r="C4" s="655"/>
      <c r="D4" s="656"/>
      <c r="E4" s="648"/>
      <c r="F4" s="644"/>
      <c r="G4" s="644"/>
      <c r="H4" s="644"/>
      <c r="I4" s="80" t="s">
        <v>130</v>
      </c>
      <c r="J4" s="80" t="s">
        <v>131</v>
      </c>
      <c r="K4" s="80" t="s">
        <v>130</v>
      </c>
      <c r="L4" s="81" t="s">
        <v>131</v>
      </c>
    </row>
    <row r="5" spans="1:12" ht="25.5">
      <c r="A5" s="636" t="s">
        <v>185</v>
      </c>
      <c r="B5" s="639" t="s">
        <v>133</v>
      </c>
      <c r="C5" s="683"/>
      <c r="D5" s="683"/>
      <c r="E5" s="109" t="s">
        <v>748</v>
      </c>
      <c r="F5" s="82" t="s">
        <v>144</v>
      </c>
      <c r="G5" s="120">
        <f aca="true" t="shared" si="0" ref="G5:L5">G19+G22+G25+G28+G31+G34</f>
        <v>0</v>
      </c>
      <c r="H5" s="120">
        <f t="shared" si="0"/>
        <v>0</v>
      </c>
      <c r="I5" s="120">
        <f t="shared" si="0"/>
        <v>0</v>
      </c>
      <c r="J5" s="120">
        <f t="shared" si="0"/>
        <v>0</v>
      </c>
      <c r="K5" s="120">
        <f t="shared" si="0"/>
        <v>0</v>
      </c>
      <c r="L5" s="134">
        <f t="shared" si="0"/>
        <v>0</v>
      </c>
    </row>
    <row r="6" spans="1:13" ht="12.75">
      <c r="A6" s="679"/>
      <c r="B6" s="462" t="s">
        <v>136</v>
      </c>
      <c r="C6" s="471"/>
      <c r="D6" s="471"/>
      <c r="E6" s="92" t="s">
        <v>749</v>
      </c>
      <c r="F6" s="75" t="s">
        <v>67</v>
      </c>
      <c r="G6" s="141">
        <v>0</v>
      </c>
      <c r="H6" s="62" t="s">
        <v>145</v>
      </c>
      <c r="I6" s="62" t="s">
        <v>145</v>
      </c>
      <c r="J6" s="62" t="s">
        <v>145</v>
      </c>
      <c r="K6" s="62" t="s">
        <v>145</v>
      </c>
      <c r="L6" s="67" t="s">
        <v>145</v>
      </c>
      <c r="M6" s="190" t="str">
        <f>IF(G6&gt;=G7,"OK","Sociālā darba speciālistu skaits pārsniedz kopējo darbinieku skaitu!")</f>
        <v>OK</v>
      </c>
    </row>
    <row r="7" spans="1:15" ht="12.75">
      <c r="A7" s="679"/>
      <c r="B7" s="462" t="s">
        <v>137</v>
      </c>
      <c r="C7" s="471"/>
      <c r="D7" s="471"/>
      <c r="E7" s="96" t="s">
        <v>750</v>
      </c>
      <c r="F7" s="75" t="s">
        <v>67</v>
      </c>
      <c r="G7" s="141">
        <v>0</v>
      </c>
      <c r="H7" s="62" t="s">
        <v>145</v>
      </c>
      <c r="I7" s="62" t="s">
        <v>145</v>
      </c>
      <c r="J7" s="62" t="s">
        <v>145</v>
      </c>
      <c r="K7" s="62" t="s">
        <v>145</v>
      </c>
      <c r="L7" s="67" t="s">
        <v>145</v>
      </c>
      <c r="O7" t="str">
        <f>IF(AND(SUM(G5:L5)&gt;0,OR(SUM(G20:L20)&gt;0,SUM(G23:L23)&gt;0,SUM(G28:L28)&gt;0,SUM(G26:L26)&gt;0,SUM(G29:L29)&gt;0,SUM(G32:L32)&gt;0,SUM(G35:L35)&gt;0)),"OK",IF(SUM(G5:L36)=0,"OK","Pārbaudi naudu, cilvēku vai institūciju skaitu"))</f>
        <v>OK</v>
      </c>
    </row>
    <row r="8" spans="1:12" ht="12.75">
      <c r="A8" s="679"/>
      <c r="B8" s="462" t="s">
        <v>138</v>
      </c>
      <c r="C8" s="471"/>
      <c r="D8" s="471"/>
      <c r="E8" s="92" t="s">
        <v>751</v>
      </c>
      <c r="F8" s="240" t="s">
        <v>931</v>
      </c>
      <c r="G8" s="119">
        <f aca="true" t="shared" si="1" ref="G8:L8">G20+G23+G26+G29+G32+G35</f>
        <v>0</v>
      </c>
      <c r="H8" s="119">
        <f t="shared" si="1"/>
        <v>0</v>
      </c>
      <c r="I8" s="119">
        <f t="shared" si="1"/>
        <v>0</v>
      </c>
      <c r="J8" s="119">
        <f t="shared" si="1"/>
        <v>0</v>
      </c>
      <c r="K8" s="119">
        <f t="shared" si="1"/>
        <v>0</v>
      </c>
      <c r="L8" s="125">
        <f t="shared" si="1"/>
        <v>0</v>
      </c>
    </row>
    <row r="9" spans="1:18" ht="12.75">
      <c r="A9" s="679"/>
      <c r="B9" s="462" t="s">
        <v>139</v>
      </c>
      <c r="C9" s="471"/>
      <c r="D9" s="471"/>
      <c r="E9" s="92" t="s">
        <v>769</v>
      </c>
      <c r="F9" s="75" t="s">
        <v>67</v>
      </c>
      <c r="G9" s="119">
        <f aca="true" t="shared" si="2" ref="G9:L9">G10+G11+G12+G13</f>
        <v>0</v>
      </c>
      <c r="H9" s="119">
        <f t="shared" si="2"/>
        <v>0</v>
      </c>
      <c r="I9" s="119">
        <f t="shared" si="2"/>
        <v>0</v>
      </c>
      <c r="J9" s="119">
        <f t="shared" si="2"/>
        <v>0</v>
      </c>
      <c r="K9" s="119">
        <f t="shared" si="2"/>
        <v>0</v>
      </c>
      <c r="L9" s="125">
        <f t="shared" si="2"/>
        <v>0</v>
      </c>
      <c r="M9" s="190" t="str">
        <f aca="true" t="shared" si="3" ref="M9:R9">IF(G9=G21+G24+G27+G30+G33+G36,"OK","Pārbaudi personu skaitu pa dienas centru veidiem")</f>
        <v>OK</v>
      </c>
      <c r="N9" s="190" t="str">
        <f t="shared" si="3"/>
        <v>OK</v>
      </c>
      <c r="O9" s="190" t="str">
        <f t="shared" si="3"/>
        <v>OK</v>
      </c>
      <c r="P9" s="190" t="str">
        <f t="shared" si="3"/>
        <v>OK</v>
      </c>
      <c r="Q9" s="190" t="str">
        <f t="shared" si="3"/>
        <v>OK</v>
      </c>
      <c r="R9" s="190" t="str">
        <f t="shared" si="3"/>
        <v>OK</v>
      </c>
    </row>
    <row r="10" spans="1:12" ht="12.75">
      <c r="A10" s="679"/>
      <c r="B10" s="475" t="s">
        <v>74</v>
      </c>
      <c r="C10" s="466" t="s">
        <v>140</v>
      </c>
      <c r="D10" s="55" t="s">
        <v>142</v>
      </c>
      <c r="E10" s="95" t="s">
        <v>770</v>
      </c>
      <c r="F10" s="75" t="s">
        <v>67</v>
      </c>
      <c r="G10" s="141">
        <v>0</v>
      </c>
      <c r="H10" s="141">
        <v>0</v>
      </c>
      <c r="I10" s="141">
        <v>0</v>
      </c>
      <c r="J10" s="141">
        <v>0</v>
      </c>
      <c r="K10" s="141">
        <v>0</v>
      </c>
      <c r="L10" s="142">
        <v>0</v>
      </c>
    </row>
    <row r="11" spans="1:12" ht="12.75">
      <c r="A11" s="679"/>
      <c r="B11" s="475"/>
      <c r="C11" s="466"/>
      <c r="D11" s="55" t="s">
        <v>143</v>
      </c>
      <c r="E11" s="95" t="s">
        <v>771</v>
      </c>
      <c r="F11" s="75" t="s">
        <v>67</v>
      </c>
      <c r="G11" s="141">
        <v>0</v>
      </c>
      <c r="H11" s="141">
        <v>0</v>
      </c>
      <c r="I11" s="141">
        <v>0</v>
      </c>
      <c r="J11" s="141">
        <v>0</v>
      </c>
      <c r="K11" s="141">
        <v>0</v>
      </c>
      <c r="L11" s="142">
        <v>0</v>
      </c>
    </row>
    <row r="12" spans="1:12" ht="12.75">
      <c r="A12" s="679"/>
      <c r="B12" s="475"/>
      <c r="C12" s="466" t="s">
        <v>141</v>
      </c>
      <c r="D12" s="55" t="s">
        <v>142</v>
      </c>
      <c r="E12" s="95" t="s">
        <v>772</v>
      </c>
      <c r="F12" s="75" t="s">
        <v>67</v>
      </c>
      <c r="G12" s="141">
        <v>0</v>
      </c>
      <c r="H12" s="141">
        <v>0</v>
      </c>
      <c r="I12" s="141">
        <v>0</v>
      </c>
      <c r="J12" s="141">
        <v>0</v>
      </c>
      <c r="K12" s="141">
        <v>0</v>
      </c>
      <c r="L12" s="142">
        <v>0</v>
      </c>
    </row>
    <row r="13" spans="1:12" ht="12.75">
      <c r="A13" s="679"/>
      <c r="B13" s="475"/>
      <c r="C13" s="466"/>
      <c r="D13" s="55" t="s">
        <v>143</v>
      </c>
      <c r="E13" s="95" t="s">
        <v>773</v>
      </c>
      <c r="F13" s="75" t="s">
        <v>67</v>
      </c>
      <c r="G13" s="141">
        <v>0</v>
      </c>
      <c r="H13" s="141">
        <v>0</v>
      </c>
      <c r="I13" s="141">
        <v>0</v>
      </c>
      <c r="J13" s="141">
        <v>0</v>
      </c>
      <c r="K13" s="141">
        <v>0</v>
      </c>
      <c r="L13" s="142">
        <v>0</v>
      </c>
    </row>
    <row r="14" spans="1:13" ht="27.75" customHeight="1">
      <c r="A14" s="680"/>
      <c r="B14" s="462" t="s">
        <v>152</v>
      </c>
      <c r="C14" s="468"/>
      <c r="D14" s="468"/>
      <c r="E14" s="95" t="s">
        <v>774</v>
      </c>
      <c r="F14" s="75" t="s">
        <v>67</v>
      </c>
      <c r="G14" s="141">
        <v>0</v>
      </c>
      <c r="H14" s="141">
        <v>0</v>
      </c>
      <c r="I14" s="141">
        <v>0</v>
      </c>
      <c r="J14" s="141">
        <v>0</v>
      </c>
      <c r="K14" s="141">
        <v>0</v>
      </c>
      <c r="L14" s="142">
        <v>0</v>
      </c>
      <c r="M14" s="189" t="str">
        <f>IF(AND(G14&lt;=G9,H14&lt;=H9,I14&lt;=I9,J14&lt;=J9,K14&lt;=K9,L14&lt;=L9),"OK","Klientu skaits, kuriem pakalpojumu pilnībā vai daļēji apmaksā pašvaldība, ir lielāks kā kopējais pakalpojumus saņēmušo klientu skaits!")</f>
        <v>OK</v>
      </c>
    </row>
    <row r="15" spans="1:12" ht="15" customHeight="1">
      <c r="A15" s="680"/>
      <c r="B15" s="462" t="s">
        <v>169</v>
      </c>
      <c r="C15" s="468"/>
      <c r="D15" s="468"/>
      <c r="E15" s="92" t="s">
        <v>752</v>
      </c>
      <c r="F15" s="63" t="s">
        <v>67</v>
      </c>
      <c r="G15" s="119">
        <f aca="true" t="shared" si="4" ref="G15:L15">G16+G17</f>
        <v>0</v>
      </c>
      <c r="H15" s="119">
        <f t="shared" si="4"/>
        <v>0</v>
      </c>
      <c r="I15" s="119">
        <f t="shared" si="4"/>
        <v>0</v>
      </c>
      <c r="J15" s="119">
        <f t="shared" si="4"/>
        <v>0</v>
      </c>
      <c r="K15" s="119">
        <f t="shared" si="4"/>
        <v>0</v>
      </c>
      <c r="L15" s="125">
        <f t="shared" si="4"/>
        <v>0</v>
      </c>
    </row>
    <row r="16" spans="1:15" ht="21.75" customHeight="1">
      <c r="A16" s="680"/>
      <c r="B16" s="462" t="s">
        <v>170</v>
      </c>
      <c r="C16" s="462" t="s">
        <v>171</v>
      </c>
      <c r="D16" s="663"/>
      <c r="E16" s="96" t="s">
        <v>775</v>
      </c>
      <c r="F16" s="63" t="s">
        <v>67</v>
      </c>
      <c r="G16" s="141">
        <v>0</v>
      </c>
      <c r="H16" s="141">
        <v>0</v>
      </c>
      <c r="I16" s="141">
        <v>0</v>
      </c>
      <c r="J16" s="141">
        <v>0</v>
      </c>
      <c r="K16" s="141">
        <v>0</v>
      </c>
      <c r="L16" s="142">
        <v>0</v>
      </c>
      <c r="O16" t="str">
        <f>IF(SUM(G5:G36)=0,"OK",IF(G10+G11+G12+G13=G9,IF(AND(G5&gt;0,G8&gt;0,G9&gt;0,MAX(G21,G24,G27,G30,G33,G36)&lt;=G9,G13+G12+G11+G10&lt;=G21+G24+G27+G30+G33+G36),IF(G14&lt;=G9,IF(G5=G19+G22+G25+G28+G31+G34,"OK","Pārbaudi tabulā 2.4 G5, G19, G22, G25, G28, G31, G34"),"Pārbaudi tabulā 2.4 G9, G14"),"Pārbaudi tabulā 2.4 G10, G11, G12, G13, G21, G24, G27, G30, G33, G36"),"Pārbaudi tabulā 2.4 G9, G10, G11, G12, G13"))</f>
        <v>OK</v>
      </c>
    </row>
    <row r="17" spans="1:15" ht="13.5" customHeight="1">
      <c r="A17" s="680"/>
      <c r="B17" s="663"/>
      <c r="C17" s="462" t="s">
        <v>172</v>
      </c>
      <c r="D17" s="663"/>
      <c r="E17" s="96" t="s">
        <v>776</v>
      </c>
      <c r="F17" s="63" t="s">
        <v>67</v>
      </c>
      <c r="G17" s="141">
        <v>0</v>
      </c>
      <c r="H17" s="141">
        <v>0</v>
      </c>
      <c r="I17" s="141">
        <v>0</v>
      </c>
      <c r="J17" s="141">
        <v>0</v>
      </c>
      <c r="K17" s="141">
        <v>0</v>
      </c>
      <c r="L17" s="142">
        <v>0</v>
      </c>
      <c r="O17" t="str">
        <f>IF(SUM(H5:H36)=0,"OK",IF(H10+H11+H12+H13=H9,IF(AND(H5&gt;0,H8&gt;0,H9&gt;0,MAX(H21,H24,H27,H30,H33,H36)&lt;=H9,H13+H12+H11+H10&lt;=H21+H24+H27+H30+H33+H36),IF(H14&lt;=H9,IF(H5=H19+H22+H25+H28+H31+H34,"OK","Pārbaudi tabulā 2.4 H5, H19, H22, H25, H28, H31, H34"),"Pārbaudi tabulā 2.4 H9, H14"),"Pārbaudi tabulā 2.4 H10, H11, H12, H13, H21, H24, H27, H30, H33, H36"),"Pārbaudi tabulā 2.4 H9, H10, H11, H12, H13"))</f>
        <v>OK</v>
      </c>
    </row>
    <row r="18" spans="1:15" ht="25.5" customHeight="1" thickBot="1">
      <c r="A18" s="681"/>
      <c r="B18" s="473" t="s">
        <v>173</v>
      </c>
      <c r="C18" s="671"/>
      <c r="D18" s="671"/>
      <c r="E18" s="93" t="s">
        <v>753</v>
      </c>
      <c r="F18" s="69" t="s">
        <v>67</v>
      </c>
      <c r="G18" s="143">
        <v>0</v>
      </c>
      <c r="H18" s="143">
        <v>0</v>
      </c>
      <c r="I18" s="143">
        <v>0</v>
      </c>
      <c r="J18" s="143">
        <v>0</v>
      </c>
      <c r="K18" s="143">
        <v>0</v>
      </c>
      <c r="L18" s="144">
        <v>0</v>
      </c>
      <c r="O18" t="str">
        <f>IF(SUM(I5:I36)=0,"OK",IF(I10+I11+I12+I13=I9,IF(AND(I5&gt;0,I8&gt;0,I9&gt;0,MAX(I21,I24,I27,I30,I33,I36)&lt;=I9,I13+I12+I11+I10&lt;=I21+I24+I27+I30+I33+I36),IF(I14&lt;=I9,IF(I5=I19+I22+I25+I28+I31+I34,"OK","Pārbaudi tabulā 2.4 I5, I19, I22, I25, I28, I31, I34"),"Pārbaudi tabulā 2.4 I9, I14"),"Pārbaudi tabulā 2.4 I10, I11, I12, I13, I21, I24, I27, I30, I33, I36"),"Pārbaudi tabulā 2.4 I9, I10, I11, I12, I13"))</f>
        <v>OK</v>
      </c>
    </row>
    <row r="19" spans="1:15" ht="34.5" customHeight="1">
      <c r="A19" s="626" t="s">
        <v>74</v>
      </c>
      <c r="B19" s="460" t="s">
        <v>198</v>
      </c>
      <c r="C19" s="460" t="s">
        <v>133</v>
      </c>
      <c r="D19" s="682"/>
      <c r="E19" s="102" t="s">
        <v>777</v>
      </c>
      <c r="F19" s="71" t="s">
        <v>144</v>
      </c>
      <c r="G19" s="145">
        <v>0</v>
      </c>
      <c r="H19" s="145">
        <v>0</v>
      </c>
      <c r="I19" s="145">
        <v>0</v>
      </c>
      <c r="J19" s="145">
        <v>0</v>
      </c>
      <c r="K19" s="145">
        <v>0</v>
      </c>
      <c r="L19" s="146">
        <v>0</v>
      </c>
      <c r="O19" t="str">
        <f>IF(SUM(J5:J36)=0,"OK",IF(J10+J11+J12+J13=J9,IF(AND(J5&gt;0,J8&gt;0,J9&gt;0,MAX(J21,J24,J27,J30,J33,J36)&lt;=J9,J13+J12+J11+J10&lt;=J21+J24+J27+J30+J33+J36),IF(J14&lt;=J9,IF(J5=J19+J22+J25+J28+J31+J34,"OK","Pārbaudi tabulā 2.4 J5, J19, J22, J25, J28, J31, J34"),"Pārbaudi tabulā 2.4 J9, J14"),"Pārbaudi tabulā 2.4 J10, J11, J12, J13, J21, J24, J27, J30, J33, J36"),"Pārbaudi tabulā 2.4 J9, J10, J11, J12, J13"))</f>
        <v>OK</v>
      </c>
    </row>
    <row r="20" spans="1:15" ht="25.5" customHeight="1">
      <c r="A20" s="627"/>
      <c r="B20" s="468"/>
      <c r="C20" s="462" t="s">
        <v>138</v>
      </c>
      <c r="D20" s="468"/>
      <c r="E20" s="96" t="s">
        <v>778</v>
      </c>
      <c r="F20" s="242" t="s">
        <v>931</v>
      </c>
      <c r="G20" s="141">
        <v>0</v>
      </c>
      <c r="H20" s="141">
        <v>0</v>
      </c>
      <c r="I20" s="141">
        <v>0</v>
      </c>
      <c r="J20" s="141">
        <v>0</v>
      </c>
      <c r="K20" s="141">
        <v>0</v>
      </c>
      <c r="L20" s="142">
        <v>0</v>
      </c>
      <c r="O20" t="str">
        <f>IF(SUM(K5:K36)=0,"OK",IF(K10+K11+K12+K13=K9,IF(AND(K5&gt;0,K8&gt;0,K9&gt;0,MAX(K21,K24,K27,K30,K33,K36)&lt;=K9,K13+K12+K11+K10&lt;=K21+K24+K27+K30+K33+K36),IF(K14&lt;=K9,IF(K5=K19+K22+K25+K28+K31+K34,"OK","Pārbaudi tabulā 2.4 K5, K19, K22, K25, K28, K31, K34"),"Pārbaudi tabulā 2.4 K9, K14"),"Pārbaudi tabulā 2.4 K10, K11, K12, K13, K21, K24, K27, K30, K33, K36"),"Pārbaudi tabulā 2.4 K9, K10, K11, K12, K13"))</f>
        <v>OK</v>
      </c>
    </row>
    <row r="21" spans="1:15" ht="32.25" customHeight="1">
      <c r="A21" s="627"/>
      <c r="B21" s="468"/>
      <c r="C21" s="462" t="s">
        <v>183</v>
      </c>
      <c r="D21" s="468"/>
      <c r="E21" s="96" t="s">
        <v>779</v>
      </c>
      <c r="F21" s="63" t="s">
        <v>67</v>
      </c>
      <c r="G21" s="141">
        <v>0</v>
      </c>
      <c r="H21" s="141">
        <v>0</v>
      </c>
      <c r="I21" s="141">
        <v>0</v>
      </c>
      <c r="J21" s="141">
        <v>0</v>
      </c>
      <c r="K21" s="141">
        <v>0</v>
      </c>
      <c r="L21" s="142">
        <v>0</v>
      </c>
      <c r="O21" t="str">
        <f>IF(SUM(L5:L36)=0,"OK",IF(L10+L11+L12+L13=L9,IF(AND(L5&gt;0,L8&gt;0,L9&gt;0,MAX(L21,L24,L27,L30,L33,L36)&lt;=L9,L13+L12+L11+L10&lt;=L21+L24+L27+L30+L33+L36),IF(L14&lt;=L9,IF(L5=L19+L22+L25+L28+L31+L34,"OK","Pārbaudi tabulā 2.4 L5, L19, L22, L25, L28, L31, L34"),"Pārbaudi tabulā 2.4 L9, L14"),"Pārbaudi tabulā 2.4 L10, L11, L12, L13, L21, L24, L27, L30, L33, L36"),"Pārbaudi tabulā 2.4 L9, L10, L11, L12, L13"))</f>
        <v>OK</v>
      </c>
    </row>
    <row r="22" spans="1:12" ht="29.25" customHeight="1">
      <c r="A22" s="689"/>
      <c r="B22" s="462" t="s">
        <v>199</v>
      </c>
      <c r="C22" s="462" t="s">
        <v>133</v>
      </c>
      <c r="D22" s="468"/>
      <c r="E22" s="96" t="s">
        <v>754</v>
      </c>
      <c r="F22" s="66" t="s">
        <v>144</v>
      </c>
      <c r="G22" s="141">
        <v>0</v>
      </c>
      <c r="H22" s="141">
        <v>0</v>
      </c>
      <c r="I22" s="141">
        <v>0</v>
      </c>
      <c r="J22" s="141">
        <v>0</v>
      </c>
      <c r="K22" s="141">
        <v>0</v>
      </c>
      <c r="L22" s="142">
        <v>0</v>
      </c>
    </row>
    <row r="23" spans="1:12" ht="18" customHeight="1">
      <c r="A23" s="689"/>
      <c r="B23" s="468"/>
      <c r="C23" s="462" t="s">
        <v>138</v>
      </c>
      <c r="D23" s="468"/>
      <c r="E23" s="96" t="s">
        <v>755</v>
      </c>
      <c r="F23" s="242" t="s">
        <v>931</v>
      </c>
      <c r="G23" s="141">
        <v>0</v>
      </c>
      <c r="H23" s="141">
        <v>0</v>
      </c>
      <c r="I23" s="141">
        <v>0</v>
      </c>
      <c r="J23" s="141">
        <v>0</v>
      </c>
      <c r="K23" s="141">
        <v>0</v>
      </c>
      <c r="L23" s="142">
        <v>0</v>
      </c>
    </row>
    <row r="24" spans="1:12" ht="53.25" customHeight="1" thickBot="1">
      <c r="A24" s="689"/>
      <c r="B24" s="657"/>
      <c r="C24" s="686" t="s">
        <v>183</v>
      </c>
      <c r="D24" s="613"/>
      <c r="E24" s="103" t="s">
        <v>756</v>
      </c>
      <c r="F24" s="69" t="s">
        <v>67</v>
      </c>
      <c r="G24" s="143">
        <v>0</v>
      </c>
      <c r="H24" s="143">
        <v>0</v>
      </c>
      <c r="I24" s="143">
        <v>0</v>
      </c>
      <c r="J24" s="143">
        <v>0</v>
      </c>
      <c r="K24" s="143">
        <v>0</v>
      </c>
      <c r="L24" s="144">
        <v>0</v>
      </c>
    </row>
    <row r="25" spans="1:12" ht="29.25" customHeight="1">
      <c r="A25" s="689"/>
      <c r="B25" s="460" t="s">
        <v>200</v>
      </c>
      <c r="C25" s="687" t="s">
        <v>133</v>
      </c>
      <c r="D25" s="688"/>
      <c r="E25" s="102" t="s">
        <v>757</v>
      </c>
      <c r="F25" s="71" t="s">
        <v>144</v>
      </c>
      <c r="G25" s="145">
        <v>0</v>
      </c>
      <c r="H25" s="145">
        <v>0</v>
      </c>
      <c r="I25" s="145">
        <v>0</v>
      </c>
      <c r="J25" s="145">
        <v>0</v>
      </c>
      <c r="K25" s="145">
        <v>0</v>
      </c>
      <c r="L25" s="146">
        <v>0</v>
      </c>
    </row>
    <row r="26" spans="1:12" ht="12.75">
      <c r="A26" s="689"/>
      <c r="B26" s="468"/>
      <c r="C26" s="466" t="s">
        <v>138</v>
      </c>
      <c r="D26" s="475"/>
      <c r="E26" s="96" t="s">
        <v>758</v>
      </c>
      <c r="F26" s="242" t="s">
        <v>931</v>
      </c>
      <c r="G26" s="141">
        <v>0</v>
      </c>
      <c r="H26" s="141">
        <v>0</v>
      </c>
      <c r="I26" s="141">
        <v>0</v>
      </c>
      <c r="J26" s="141">
        <v>0</v>
      </c>
      <c r="K26" s="141">
        <v>0</v>
      </c>
      <c r="L26" s="142">
        <v>0</v>
      </c>
    </row>
    <row r="27" spans="1:12" ht="35.25" customHeight="1">
      <c r="A27" s="689"/>
      <c r="B27" s="468"/>
      <c r="C27" s="466" t="s">
        <v>183</v>
      </c>
      <c r="D27" s="475"/>
      <c r="E27" s="96" t="s">
        <v>759</v>
      </c>
      <c r="F27" s="63" t="s">
        <v>67</v>
      </c>
      <c r="G27" s="141">
        <v>0</v>
      </c>
      <c r="H27" s="141">
        <v>0</v>
      </c>
      <c r="I27" s="141">
        <v>0</v>
      </c>
      <c r="J27" s="141">
        <v>0</v>
      </c>
      <c r="K27" s="141">
        <v>0</v>
      </c>
      <c r="L27" s="142">
        <v>0</v>
      </c>
    </row>
    <row r="28" spans="1:12" ht="27.75" customHeight="1">
      <c r="A28" s="689"/>
      <c r="B28" s="462" t="s">
        <v>201</v>
      </c>
      <c r="C28" s="466" t="s">
        <v>133</v>
      </c>
      <c r="D28" s="475"/>
      <c r="E28" s="96" t="s">
        <v>760</v>
      </c>
      <c r="F28" s="66" t="s">
        <v>144</v>
      </c>
      <c r="G28" s="141">
        <v>0</v>
      </c>
      <c r="H28" s="141">
        <v>0</v>
      </c>
      <c r="I28" s="141">
        <v>0</v>
      </c>
      <c r="J28" s="141">
        <v>0</v>
      </c>
      <c r="K28" s="141">
        <v>0</v>
      </c>
      <c r="L28" s="142">
        <v>0</v>
      </c>
    </row>
    <row r="29" spans="1:12" ht="12.75">
      <c r="A29" s="689"/>
      <c r="B29" s="468"/>
      <c r="C29" s="466" t="s">
        <v>138</v>
      </c>
      <c r="D29" s="475"/>
      <c r="E29" s="96" t="s">
        <v>761</v>
      </c>
      <c r="F29" s="242" t="s">
        <v>931</v>
      </c>
      <c r="G29" s="141">
        <v>0</v>
      </c>
      <c r="H29" s="141">
        <v>0</v>
      </c>
      <c r="I29" s="141">
        <v>0</v>
      </c>
      <c r="J29" s="141">
        <v>0</v>
      </c>
      <c r="K29" s="141">
        <v>0</v>
      </c>
      <c r="L29" s="142">
        <v>0</v>
      </c>
    </row>
    <row r="30" spans="1:12" ht="111" customHeight="1">
      <c r="A30" s="689"/>
      <c r="B30" s="468"/>
      <c r="C30" s="466" t="s">
        <v>183</v>
      </c>
      <c r="D30" s="475"/>
      <c r="E30" s="96" t="s">
        <v>762</v>
      </c>
      <c r="F30" s="63" t="s">
        <v>67</v>
      </c>
      <c r="G30" s="141">
        <v>0</v>
      </c>
      <c r="H30" s="141">
        <v>0</v>
      </c>
      <c r="I30" s="141">
        <v>0</v>
      </c>
      <c r="J30" s="141">
        <v>0</v>
      </c>
      <c r="K30" s="141">
        <v>0</v>
      </c>
      <c r="L30" s="142">
        <v>0</v>
      </c>
    </row>
    <row r="31" spans="1:12" ht="26.25" customHeight="1">
      <c r="A31" s="689"/>
      <c r="B31" s="639" t="s">
        <v>202</v>
      </c>
      <c r="C31" s="581" t="s">
        <v>133</v>
      </c>
      <c r="D31" s="662"/>
      <c r="E31" s="112" t="s">
        <v>763</v>
      </c>
      <c r="F31" s="66" t="s">
        <v>144</v>
      </c>
      <c r="G31" s="139">
        <v>0</v>
      </c>
      <c r="H31" s="139">
        <v>0</v>
      </c>
      <c r="I31" s="139">
        <v>0</v>
      </c>
      <c r="J31" s="139">
        <v>0</v>
      </c>
      <c r="K31" s="139">
        <v>0</v>
      </c>
      <c r="L31" s="140">
        <v>0</v>
      </c>
    </row>
    <row r="32" spans="1:12" ht="12.75">
      <c r="A32" s="689"/>
      <c r="B32" s="468"/>
      <c r="C32" s="466" t="s">
        <v>138</v>
      </c>
      <c r="D32" s="475"/>
      <c r="E32" s="96" t="s">
        <v>764</v>
      </c>
      <c r="F32" s="242" t="s">
        <v>931</v>
      </c>
      <c r="G32" s="141">
        <v>0</v>
      </c>
      <c r="H32" s="141">
        <v>0</v>
      </c>
      <c r="I32" s="141">
        <v>0</v>
      </c>
      <c r="J32" s="141">
        <v>0</v>
      </c>
      <c r="K32" s="141">
        <v>0</v>
      </c>
      <c r="L32" s="142">
        <v>0</v>
      </c>
    </row>
    <row r="33" spans="1:12" ht="36.75" customHeight="1">
      <c r="A33" s="689"/>
      <c r="B33" s="468"/>
      <c r="C33" s="466" t="s">
        <v>183</v>
      </c>
      <c r="D33" s="475"/>
      <c r="E33" s="96" t="s">
        <v>765</v>
      </c>
      <c r="F33" s="63" t="s">
        <v>67</v>
      </c>
      <c r="G33" s="141">
        <v>0</v>
      </c>
      <c r="H33" s="141">
        <v>0</v>
      </c>
      <c r="I33" s="141">
        <v>0</v>
      </c>
      <c r="J33" s="141">
        <v>0</v>
      </c>
      <c r="K33" s="141">
        <v>0</v>
      </c>
      <c r="L33" s="142">
        <v>0</v>
      </c>
    </row>
    <row r="34" spans="1:12" ht="27" customHeight="1">
      <c r="A34" s="689"/>
      <c r="B34" s="691" t="s">
        <v>203</v>
      </c>
      <c r="C34" s="466" t="s">
        <v>133</v>
      </c>
      <c r="D34" s="475"/>
      <c r="E34" s="96" t="s">
        <v>766</v>
      </c>
      <c r="F34" s="66" t="s">
        <v>144</v>
      </c>
      <c r="G34" s="141">
        <v>0</v>
      </c>
      <c r="H34" s="141">
        <v>0</v>
      </c>
      <c r="I34" s="141">
        <v>0</v>
      </c>
      <c r="J34" s="141">
        <v>0</v>
      </c>
      <c r="K34" s="141">
        <v>0</v>
      </c>
      <c r="L34" s="142">
        <v>0</v>
      </c>
    </row>
    <row r="35" spans="1:12" ht="12.75">
      <c r="A35" s="689"/>
      <c r="B35" s="468"/>
      <c r="C35" s="466" t="s">
        <v>138</v>
      </c>
      <c r="D35" s="475"/>
      <c r="E35" s="96" t="s">
        <v>767</v>
      </c>
      <c r="F35" s="242" t="s">
        <v>931</v>
      </c>
      <c r="G35" s="141">
        <v>0</v>
      </c>
      <c r="H35" s="141">
        <v>0</v>
      </c>
      <c r="I35" s="141">
        <v>0</v>
      </c>
      <c r="J35" s="141">
        <v>0</v>
      </c>
      <c r="K35" s="141">
        <v>0</v>
      </c>
      <c r="L35" s="142">
        <v>0</v>
      </c>
    </row>
    <row r="36" spans="1:12" ht="24.75" customHeight="1" thickBot="1">
      <c r="A36" s="690"/>
      <c r="B36" s="657"/>
      <c r="C36" s="686" t="s">
        <v>183</v>
      </c>
      <c r="D36" s="613"/>
      <c r="E36" s="103" t="s">
        <v>768</v>
      </c>
      <c r="F36" s="69" t="s">
        <v>67</v>
      </c>
      <c r="G36" s="143">
        <v>0</v>
      </c>
      <c r="H36" s="143">
        <v>0</v>
      </c>
      <c r="I36" s="143">
        <v>0</v>
      </c>
      <c r="J36" s="143">
        <v>0</v>
      </c>
      <c r="K36" s="143">
        <v>0</v>
      </c>
      <c r="L36" s="144">
        <v>0</v>
      </c>
    </row>
  </sheetData>
  <sheetProtection password="CE88" sheet="1" objects="1" scenarios="1"/>
  <mergeCells count="49">
    <mergeCell ref="A1:L1"/>
    <mergeCell ref="A2:D4"/>
    <mergeCell ref="E2:E4"/>
    <mergeCell ref="F2:F4"/>
    <mergeCell ref="G2:G4"/>
    <mergeCell ref="H2:L2"/>
    <mergeCell ref="H3:H4"/>
    <mergeCell ref="I3:J3"/>
    <mergeCell ref="K3:L3"/>
    <mergeCell ref="A5:A18"/>
    <mergeCell ref="B5:D5"/>
    <mergeCell ref="B6:D6"/>
    <mergeCell ref="B7:D7"/>
    <mergeCell ref="B8:D8"/>
    <mergeCell ref="B9:D9"/>
    <mergeCell ref="B10:B13"/>
    <mergeCell ref="C10:C11"/>
    <mergeCell ref="C12:C13"/>
    <mergeCell ref="B14:D14"/>
    <mergeCell ref="B31:B33"/>
    <mergeCell ref="B18:D18"/>
    <mergeCell ref="B19:B21"/>
    <mergeCell ref="C19:D19"/>
    <mergeCell ref="C20:D20"/>
    <mergeCell ref="C21:D21"/>
    <mergeCell ref="B22:B24"/>
    <mergeCell ref="C22:D22"/>
    <mergeCell ref="C23:D23"/>
    <mergeCell ref="C24:D24"/>
    <mergeCell ref="B15:D15"/>
    <mergeCell ref="B16:B17"/>
    <mergeCell ref="C16:D16"/>
    <mergeCell ref="C17:D17"/>
    <mergeCell ref="A19:A36"/>
    <mergeCell ref="C31:D31"/>
    <mergeCell ref="C32:D32"/>
    <mergeCell ref="C33:D33"/>
    <mergeCell ref="B34:B36"/>
    <mergeCell ref="C34:D34"/>
    <mergeCell ref="C35:D35"/>
    <mergeCell ref="C36:D36"/>
    <mergeCell ref="B25:B27"/>
    <mergeCell ref="C25:D25"/>
    <mergeCell ref="B28:B30"/>
    <mergeCell ref="C28:D28"/>
    <mergeCell ref="C29:D29"/>
    <mergeCell ref="C30:D30"/>
    <mergeCell ref="C26:D26"/>
    <mergeCell ref="C27:D27"/>
  </mergeCells>
  <printOptions/>
  <pageMargins left="0.75" right="0.75" top="0.57" bottom="0.5" header="0.33" footer="0.28"/>
  <pageSetup horizontalDpi="1200" verticalDpi="1200" orientation="landscape" paperSize="9" r:id="rId1"/>
  <headerFooter alignWithMargins="0">
    <oddFooter>&amp;R14 - 15</oddFooter>
  </headerFooter>
</worksheet>
</file>

<file path=xl/worksheets/sheet14.xml><?xml version="1.0" encoding="utf-8"?>
<worksheet xmlns="http://schemas.openxmlformats.org/spreadsheetml/2006/main" xmlns:r="http://schemas.openxmlformats.org/officeDocument/2006/relationships">
  <dimension ref="A1:O26"/>
  <sheetViews>
    <sheetView zoomScalePageLayoutView="0" workbookViewId="0" topLeftCell="A13">
      <selection activeCell="H17" sqref="H17"/>
    </sheetView>
  </sheetViews>
  <sheetFormatPr defaultColWidth="9.140625" defaultRowHeight="12.75"/>
  <cols>
    <col min="3" max="3" width="10.140625" style="0" customWidth="1"/>
    <col min="4" max="4" width="13.57421875" style="0" customWidth="1"/>
    <col min="5" max="5" width="10.57421875" style="99" customWidth="1"/>
    <col min="6" max="6" width="12.140625" style="0" customWidth="1"/>
    <col min="7" max="7" width="10.8515625" style="0" customWidth="1"/>
    <col min="8" max="8" width="10.421875" style="0" customWidth="1"/>
    <col min="9" max="9" width="10.140625" style="0" customWidth="1"/>
    <col min="10" max="10" width="10.421875" style="0" customWidth="1"/>
    <col min="11" max="11" width="9.57421875" style="0" customWidth="1"/>
    <col min="12" max="12" width="10.57421875" style="0" customWidth="1"/>
  </cols>
  <sheetData>
    <row r="1" spans="1:12" ht="21" customHeight="1" thickBot="1">
      <c r="A1" s="684" t="s">
        <v>228</v>
      </c>
      <c r="B1" s="685"/>
      <c r="C1" s="685"/>
      <c r="D1" s="685"/>
      <c r="E1" s="685"/>
      <c r="F1" s="685"/>
      <c r="G1" s="685"/>
      <c r="H1" s="685"/>
      <c r="I1" s="685"/>
      <c r="J1" s="685"/>
      <c r="K1" s="685"/>
      <c r="L1" s="685"/>
    </row>
    <row r="2" spans="1:12" ht="12.75">
      <c r="A2" s="649" t="s">
        <v>124</v>
      </c>
      <c r="B2" s="641"/>
      <c r="C2" s="641"/>
      <c r="D2" s="650"/>
      <c r="E2" s="646" t="s">
        <v>60</v>
      </c>
      <c r="F2" s="641" t="s">
        <v>61</v>
      </c>
      <c r="G2" s="641" t="s">
        <v>125</v>
      </c>
      <c r="H2" s="641" t="s">
        <v>126</v>
      </c>
      <c r="I2" s="641"/>
      <c r="J2" s="641"/>
      <c r="K2" s="641"/>
      <c r="L2" s="642"/>
    </row>
    <row r="3" spans="1:12" ht="12.75">
      <c r="A3" s="651"/>
      <c r="B3" s="652"/>
      <c r="C3" s="652"/>
      <c r="D3" s="653"/>
      <c r="E3" s="647"/>
      <c r="F3" s="643"/>
      <c r="G3" s="643"/>
      <c r="H3" s="643" t="s">
        <v>127</v>
      </c>
      <c r="I3" s="643" t="s">
        <v>128</v>
      </c>
      <c r="J3" s="643"/>
      <c r="K3" s="643" t="s">
        <v>129</v>
      </c>
      <c r="L3" s="645"/>
    </row>
    <row r="4" spans="1:12" ht="38.25">
      <c r="A4" s="673"/>
      <c r="B4" s="674"/>
      <c r="C4" s="674"/>
      <c r="D4" s="675"/>
      <c r="E4" s="676"/>
      <c r="F4" s="672"/>
      <c r="G4" s="672"/>
      <c r="H4" s="672"/>
      <c r="I4" s="72" t="s">
        <v>130</v>
      </c>
      <c r="J4" s="72" t="s">
        <v>131</v>
      </c>
      <c r="K4" s="72" t="s">
        <v>130</v>
      </c>
      <c r="L4" s="73" t="s">
        <v>131</v>
      </c>
    </row>
    <row r="5" spans="1:12" ht="23.25" customHeight="1">
      <c r="A5" s="698" t="s">
        <v>808</v>
      </c>
      <c r="B5" s="699"/>
      <c r="C5" s="700" t="s">
        <v>138</v>
      </c>
      <c r="D5" s="700"/>
      <c r="E5" s="127" t="s">
        <v>809</v>
      </c>
      <c r="F5" s="242" t="s">
        <v>931</v>
      </c>
      <c r="G5" s="119">
        <f aca="true" t="shared" si="0" ref="G5:L5">G11+G25</f>
        <v>0</v>
      </c>
      <c r="H5" s="119">
        <f t="shared" si="0"/>
        <v>2192</v>
      </c>
      <c r="I5" s="119">
        <f t="shared" si="0"/>
        <v>0</v>
      </c>
      <c r="J5" s="119">
        <f t="shared" si="0"/>
        <v>28248.59</v>
      </c>
      <c r="K5" s="119">
        <f t="shared" si="0"/>
        <v>0</v>
      </c>
      <c r="L5" s="125">
        <f t="shared" si="0"/>
        <v>0</v>
      </c>
    </row>
    <row r="6" spans="1:12" ht="24.75" customHeight="1">
      <c r="A6" s="698"/>
      <c r="B6" s="699"/>
      <c r="C6" s="700" t="s">
        <v>136</v>
      </c>
      <c r="D6" s="700"/>
      <c r="E6" s="127" t="s">
        <v>810</v>
      </c>
      <c r="F6" s="63" t="s">
        <v>67</v>
      </c>
      <c r="G6" s="119">
        <f>G9+G23</f>
        <v>0</v>
      </c>
      <c r="H6" s="62" t="s">
        <v>145</v>
      </c>
      <c r="I6" s="62" t="s">
        <v>145</v>
      </c>
      <c r="J6" s="62" t="s">
        <v>145</v>
      </c>
      <c r="K6" s="62" t="s">
        <v>145</v>
      </c>
      <c r="L6" s="67" t="s">
        <v>145</v>
      </c>
    </row>
    <row r="7" spans="1:15" ht="28.5" customHeight="1">
      <c r="A7" s="698"/>
      <c r="B7" s="699"/>
      <c r="C7" s="700" t="s">
        <v>137</v>
      </c>
      <c r="D7" s="700"/>
      <c r="E7" s="127" t="s">
        <v>811</v>
      </c>
      <c r="F7" s="63" t="s">
        <v>67</v>
      </c>
      <c r="G7" s="119">
        <f>G10+G24</f>
        <v>0</v>
      </c>
      <c r="H7" s="62" t="s">
        <v>145</v>
      </c>
      <c r="I7" s="62" t="s">
        <v>145</v>
      </c>
      <c r="J7" s="62" t="s">
        <v>145</v>
      </c>
      <c r="K7" s="62" t="s">
        <v>145</v>
      </c>
      <c r="L7" s="67" t="s">
        <v>145</v>
      </c>
      <c r="M7" s="190" t="str">
        <f>IF(G7&lt;=G6,"OK","Sociālā darba speciālistu skaits pārsniedz  kopējo darbinieku skaitu!")</f>
        <v>OK</v>
      </c>
      <c r="O7" s="148" t="str">
        <f>IF(AND(SUM(G5:L5)&gt;0,OR(SUM(G11:L11)&gt;0,SUM(G25:L25)&gt;0)),"OK",IF(SUM(G5:L26)=0,"OK","Pārbaudi naudu, cilvēku vai institūciju skaitu"))</f>
        <v>OK</v>
      </c>
    </row>
    <row r="8" spans="1:12" ht="25.5" customHeight="1">
      <c r="A8" s="636" t="s">
        <v>805</v>
      </c>
      <c r="B8" s="585" t="s">
        <v>133</v>
      </c>
      <c r="C8" s="694"/>
      <c r="D8" s="695"/>
      <c r="E8" s="109" t="s">
        <v>407</v>
      </c>
      <c r="F8" s="82" t="s">
        <v>144</v>
      </c>
      <c r="G8" s="139">
        <v>0</v>
      </c>
      <c r="H8" s="139">
        <v>1</v>
      </c>
      <c r="I8" s="139">
        <v>0</v>
      </c>
      <c r="J8" s="139">
        <v>3</v>
      </c>
      <c r="K8" s="139">
        <v>0</v>
      </c>
      <c r="L8" s="140">
        <v>0</v>
      </c>
    </row>
    <row r="9" spans="1:12" ht="12.75" customHeight="1">
      <c r="A9" s="679"/>
      <c r="B9" s="500" t="s">
        <v>136</v>
      </c>
      <c r="C9" s="506"/>
      <c r="D9" s="503"/>
      <c r="E9" s="92" t="s">
        <v>408</v>
      </c>
      <c r="F9" s="75" t="s">
        <v>67</v>
      </c>
      <c r="G9" s="141">
        <v>0</v>
      </c>
      <c r="H9" s="62" t="s">
        <v>145</v>
      </c>
      <c r="I9" s="62" t="s">
        <v>145</v>
      </c>
      <c r="J9" s="62" t="s">
        <v>145</v>
      </c>
      <c r="K9" s="62" t="s">
        <v>145</v>
      </c>
      <c r="L9" s="67" t="s">
        <v>145</v>
      </c>
    </row>
    <row r="10" spans="1:13" ht="12.75" customHeight="1">
      <c r="A10" s="679"/>
      <c r="B10" s="500" t="s">
        <v>137</v>
      </c>
      <c r="C10" s="506"/>
      <c r="D10" s="503"/>
      <c r="E10" s="96" t="s">
        <v>409</v>
      </c>
      <c r="F10" s="75" t="s">
        <v>67</v>
      </c>
      <c r="G10" s="141">
        <v>0</v>
      </c>
      <c r="H10" s="62" t="s">
        <v>145</v>
      </c>
      <c r="I10" s="62" t="s">
        <v>145</v>
      </c>
      <c r="J10" s="62" t="s">
        <v>145</v>
      </c>
      <c r="K10" s="62" t="s">
        <v>145</v>
      </c>
      <c r="L10" s="67" t="s">
        <v>145</v>
      </c>
      <c r="M10" s="190" t="str">
        <f>IF(G10&lt;=G9,"OK","Sociālā darba speciālistu skaits pārsniedz  kopējo darbinieku skaitu!")</f>
        <v>OK</v>
      </c>
    </row>
    <row r="11" spans="1:12" ht="12.75" customHeight="1">
      <c r="A11" s="679"/>
      <c r="B11" s="500" t="s">
        <v>138</v>
      </c>
      <c r="C11" s="506"/>
      <c r="D11" s="503"/>
      <c r="E11" s="92" t="s">
        <v>410</v>
      </c>
      <c r="F11" s="240" t="s">
        <v>931</v>
      </c>
      <c r="G11" s="141">
        <v>0</v>
      </c>
      <c r="H11" s="141">
        <v>2192</v>
      </c>
      <c r="I11" s="141">
        <v>0</v>
      </c>
      <c r="J11" s="141">
        <v>28248.59</v>
      </c>
      <c r="K11" s="141">
        <v>0</v>
      </c>
      <c r="L11" s="142">
        <v>0</v>
      </c>
    </row>
    <row r="12" spans="1:12" ht="12.75" customHeight="1">
      <c r="A12" s="679"/>
      <c r="B12" s="500" t="s">
        <v>139</v>
      </c>
      <c r="C12" s="506"/>
      <c r="D12" s="503"/>
      <c r="E12" s="92" t="s">
        <v>411</v>
      </c>
      <c r="F12" s="75" t="s">
        <v>67</v>
      </c>
      <c r="G12" s="119">
        <f aca="true" t="shared" si="1" ref="G12:L12">G13+G14+G15+G16</f>
        <v>0</v>
      </c>
      <c r="H12" s="119">
        <f t="shared" si="1"/>
        <v>2</v>
      </c>
      <c r="I12" s="119">
        <f t="shared" si="1"/>
        <v>0</v>
      </c>
      <c r="J12" s="119">
        <f t="shared" si="1"/>
        <v>12</v>
      </c>
      <c r="K12" s="119">
        <f t="shared" si="1"/>
        <v>0</v>
      </c>
      <c r="L12" s="125">
        <f t="shared" si="1"/>
        <v>0</v>
      </c>
    </row>
    <row r="13" spans="1:12" ht="12.75">
      <c r="A13" s="679"/>
      <c r="B13" s="661" t="s">
        <v>74</v>
      </c>
      <c r="C13" s="580" t="s">
        <v>140</v>
      </c>
      <c r="D13" s="55" t="s">
        <v>142</v>
      </c>
      <c r="E13" s="95" t="s">
        <v>412</v>
      </c>
      <c r="F13" s="75" t="s">
        <v>67</v>
      </c>
      <c r="G13" s="141">
        <v>0</v>
      </c>
      <c r="H13" s="141">
        <v>1</v>
      </c>
      <c r="I13" s="141">
        <v>0</v>
      </c>
      <c r="J13" s="141">
        <v>7</v>
      </c>
      <c r="K13" s="141">
        <v>0</v>
      </c>
      <c r="L13" s="142">
        <v>0</v>
      </c>
    </row>
    <row r="14" spans="1:12" ht="12.75">
      <c r="A14" s="679"/>
      <c r="B14" s="697"/>
      <c r="C14" s="581"/>
      <c r="D14" s="55" t="s">
        <v>143</v>
      </c>
      <c r="E14" s="95" t="s">
        <v>413</v>
      </c>
      <c r="F14" s="75" t="s">
        <v>67</v>
      </c>
      <c r="G14" s="141">
        <v>0</v>
      </c>
      <c r="H14" s="141">
        <v>0</v>
      </c>
      <c r="I14" s="141">
        <v>0</v>
      </c>
      <c r="J14" s="141">
        <v>3</v>
      </c>
      <c r="K14" s="141">
        <v>0</v>
      </c>
      <c r="L14" s="142">
        <v>0</v>
      </c>
    </row>
    <row r="15" spans="1:12" ht="12.75" customHeight="1">
      <c r="A15" s="679"/>
      <c r="B15" s="697"/>
      <c r="C15" s="580" t="s">
        <v>141</v>
      </c>
      <c r="D15" s="55" t="s">
        <v>142</v>
      </c>
      <c r="E15" s="95" t="s">
        <v>414</v>
      </c>
      <c r="F15" s="75" t="s">
        <v>67</v>
      </c>
      <c r="G15" s="141">
        <v>0</v>
      </c>
      <c r="H15" s="141">
        <v>0</v>
      </c>
      <c r="I15" s="141">
        <v>0</v>
      </c>
      <c r="J15" s="141">
        <v>1</v>
      </c>
      <c r="K15" s="141">
        <v>0</v>
      </c>
      <c r="L15" s="142">
        <v>0</v>
      </c>
    </row>
    <row r="16" spans="1:12" ht="12.75">
      <c r="A16" s="679"/>
      <c r="B16" s="662"/>
      <c r="C16" s="581"/>
      <c r="D16" s="55" t="s">
        <v>143</v>
      </c>
      <c r="E16" s="95" t="s">
        <v>415</v>
      </c>
      <c r="F16" s="75" t="s">
        <v>67</v>
      </c>
      <c r="G16" s="141">
        <v>0</v>
      </c>
      <c r="H16" s="141">
        <v>1</v>
      </c>
      <c r="I16" s="141">
        <v>0</v>
      </c>
      <c r="J16" s="141">
        <v>1</v>
      </c>
      <c r="K16" s="141">
        <v>0</v>
      </c>
      <c r="L16" s="142">
        <v>0</v>
      </c>
    </row>
    <row r="17" spans="1:13" ht="25.5" customHeight="1">
      <c r="A17" s="680"/>
      <c r="B17" s="500" t="s">
        <v>152</v>
      </c>
      <c r="C17" s="506"/>
      <c r="D17" s="503"/>
      <c r="E17" s="96" t="s">
        <v>495</v>
      </c>
      <c r="F17" s="75" t="s">
        <v>67</v>
      </c>
      <c r="G17" s="141">
        <v>0</v>
      </c>
      <c r="H17" s="141">
        <v>0</v>
      </c>
      <c r="I17" s="141">
        <v>0</v>
      </c>
      <c r="J17" s="141">
        <v>12</v>
      </c>
      <c r="K17" s="141">
        <v>0</v>
      </c>
      <c r="L17" s="142">
        <v>0</v>
      </c>
      <c r="M17" s="190" t="str">
        <f>IF(AND(G17&lt;=G12,H17&lt;=H12,I17&lt;=I12,J17&lt;=J12,K17&lt;=K12,L17&lt;=L12),"OK","Klientu skaits, kuriem pakalpojumu pilnībā vai daļēji apmaksā pašvaldība, ir lielāks kā kopējais pakalpojumus saņēmušo klientu skaits!")</f>
        <v>OK</v>
      </c>
    </row>
    <row r="18" spans="1:12" ht="26.25" customHeight="1">
      <c r="A18" s="680"/>
      <c r="B18" s="500" t="s">
        <v>169</v>
      </c>
      <c r="C18" s="506"/>
      <c r="D18" s="503"/>
      <c r="E18" s="92" t="s">
        <v>416</v>
      </c>
      <c r="F18" s="63" t="s">
        <v>67</v>
      </c>
      <c r="G18" s="119">
        <f aca="true" t="shared" si="2" ref="G18:L18">G19+G20</f>
        <v>0</v>
      </c>
      <c r="H18" s="119">
        <f t="shared" si="2"/>
        <v>0</v>
      </c>
      <c r="I18" s="119">
        <f t="shared" si="2"/>
        <v>0</v>
      </c>
      <c r="J18" s="119">
        <f t="shared" si="2"/>
        <v>0</v>
      </c>
      <c r="K18" s="119">
        <f t="shared" si="2"/>
        <v>0</v>
      </c>
      <c r="L18" s="125">
        <f t="shared" si="2"/>
        <v>0</v>
      </c>
    </row>
    <row r="19" spans="1:12" ht="19.5" customHeight="1">
      <c r="A19" s="680"/>
      <c r="B19" s="696" t="s">
        <v>170</v>
      </c>
      <c r="C19" s="500" t="s">
        <v>171</v>
      </c>
      <c r="D19" s="503"/>
      <c r="E19" s="96" t="s">
        <v>417</v>
      </c>
      <c r="F19" s="63" t="s">
        <v>67</v>
      </c>
      <c r="G19" s="141">
        <v>0</v>
      </c>
      <c r="H19" s="141">
        <v>0</v>
      </c>
      <c r="I19" s="141">
        <v>0</v>
      </c>
      <c r="J19" s="141">
        <v>0</v>
      </c>
      <c r="K19" s="141">
        <v>0</v>
      </c>
      <c r="L19" s="142">
        <v>0</v>
      </c>
    </row>
    <row r="20" spans="1:12" ht="18.75" customHeight="1">
      <c r="A20" s="680"/>
      <c r="B20" s="639"/>
      <c r="C20" s="500" t="s">
        <v>172</v>
      </c>
      <c r="D20" s="503"/>
      <c r="E20" s="96" t="s">
        <v>418</v>
      </c>
      <c r="F20" s="63" t="s">
        <v>67</v>
      </c>
      <c r="G20" s="141">
        <v>0</v>
      </c>
      <c r="H20" s="141">
        <v>0</v>
      </c>
      <c r="I20" s="141">
        <v>0</v>
      </c>
      <c r="J20" s="141">
        <v>0</v>
      </c>
      <c r="K20" s="141">
        <v>0</v>
      </c>
      <c r="L20" s="142">
        <v>0</v>
      </c>
    </row>
    <row r="21" spans="1:12" ht="27.75" customHeight="1">
      <c r="A21" s="680"/>
      <c r="B21" s="462" t="s">
        <v>173</v>
      </c>
      <c r="C21" s="663"/>
      <c r="D21" s="663"/>
      <c r="E21" s="92" t="s">
        <v>419</v>
      </c>
      <c r="F21" s="63" t="s">
        <v>67</v>
      </c>
      <c r="G21" s="141">
        <v>0</v>
      </c>
      <c r="H21" s="141">
        <v>0</v>
      </c>
      <c r="I21" s="141">
        <v>0</v>
      </c>
      <c r="J21" s="141">
        <v>0</v>
      </c>
      <c r="K21" s="141">
        <v>0</v>
      </c>
      <c r="L21" s="142">
        <v>0</v>
      </c>
    </row>
    <row r="22" spans="1:12" ht="25.5">
      <c r="A22" s="692" t="s">
        <v>186</v>
      </c>
      <c r="B22" s="639" t="s">
        <v>133</v>
      </c>
      <c r="C22" s="683"/>
      <c r="D22" s="683"/>
      <c r="E22" s="109" t="s">
        <v>420</v>
      </c>
      <c r="F22" s="82" t="s">
        <v>144</v>
      </c>
      <c r="G22" s="139">
        <v>0</v>
      </c>
      <c r="H22" s="139">
        <v>0</v>
      </c>
      <c r="I22" s="139">
        <v>0</v>
      </c>
      <c r="J22" s="139">
        <v>0</v>
      </c>
      <c r="K22" s="139">
        <v>0</v>
      </c>
      <c r="L22" s="140">
        <v>0</v>
      </c>
    </row>
    <row r="23" spans="1:12" ht="18.75" customHeight="1">
      <c r="A23" s="692"/>
      <c r="B23" s="462" t="s">
        <v>136</v>
      </c>
      <c r="C23" s="471"/>
      <c r="D23" s="471"/>
      <c r="E23" s="92" t="s">
        <v>421</v>
      </c>
      <c r="F23" s="75" t="s">
        <v>67</v>
      </c>
      <c r="G23" s="141">
        <v>0</v>
      </c>
      <c r="H23" s="62" t="s">
        <v>145</v>
      </c>
      <c r="I23" s="62" t="s">
        <v>145</v>
      </c>
      <c r="J23" s="62" t="s">
        <v>145</v>
      </c>
      <c r="K23" s="62" t="s">
        <v>145</v>
      </c>
      <c r="L23" s="67" t="s">
        <v>145</v>
      </c>
    </row>
    <row r="24" spans="1:13" ht="17.25" customHeight="1">
      <c r="A24" s="692"/>
      <c r="B24" s="462" t="s">
        <v>137</v>
      </c>
      <c r="C24" s="471"/>
      <c r="D24" s="471"/>
      <c r="E24" s="96" t="s">
        <v>496</v>
      </c>
      <c r="F24" s="75" t="s">
        <v>67</v>
      </c>
      <c r="G24" s="141">
        <v>0</v>
      </c>
      <c r="H24" s="62" t="s">
        <v>145</v>
      </c>
      <c r="I24" s="62" t="s">
        <v>145</v>
      </c>
      <c r="J24" s="62" t="s">
        <v>145</v>
      </c>
      <c r="K24" s="62" t="s">
        <v>145</v>
      </c>
      <c r="L24" s="67" t="s">
        <v>145</v>
      </c>
      <c r="M24" s="190" t="str">
        <f>IF(AND(G24&lt;=G23,H24&lt;=H23,I24&lt;=I23,J24&lt;=J23,K24&lt;=K23,L24&lt;=L23),"OK","Sociālā darba speciālistu skaits pārsniedz  kopējo darbinieku skaitu!")</f>
        <v>OK</v>
      </c>
    </row>
    <row r="25" spans="1:12" ht="16.5" customHeight="1">
      <c r="A25" s="692"/>
      <c r="B25" s="462" t="s">
        <v>138</v>
      </c>
      <c r="C25" s="471"/>
      <c r="D25" s="471"/>
      <c r="E25" s="92" t="s">
        <v>422</v>
      </c>
      <c r="F25" s="240" t="s">
        <v>931</v>
      </c>
      <c r="G25" s="141">
        <v>0</v>
      </c>
      <c r="H25" s="141">
        <v>0</v>
      </c>
      <c r="I25" s="141">
        <v>0</v>
      </c>
      <c r="J25" s="141">
        <v>0</v>
      </c>
      <c r="K25" s="141">
        <v>0</v>
      </c>
      <c r="L25" s="142">
        <v>0</v>
      </c>
    </row>
    <row r="26" spans="1:12" ht="24" customHeight="1" thickBot="1">
      <c r="A26" s="693"/>
      <c r="B26" s="473" t="s">
        <v>139</v>
      </c>
      <c r="C26" s="625"/>
      <c r="D26" s="625"/>
      <c r="E26" s="93" t="s">
        <v>423</v>
      </c>
      <c r="F26" s="76" t="s">
        <v>802</v>
      </c>
      <c r="G26" s="143">
        <v>0</v>
      </c>
      <c r="H26" s="143">
        <v>0</v>
      </c>
      <c r="I26" s="143">
        <v>0</v>
      </c>
      <c r="J26" s="143">
        <v>0</v>
      </c>
      <c r="K26" s="143">
        <v>0</v>
      </c>
      <c r="L26" s="144">
        <v>0</v>
      </c>
    </row>
  </sheetData>
  <sheetProtection password="CE88" sheet="1" objects="1" scenarios="1"/>
  <mergeCells count="34">
    <mergeCell ref="A1:L1"/>
    <mergeCell ref="B17:D17"/>
    <mergeCell ref="H2:L2"/>
    <mergeCell ref="H3:H4"/>
    <mergeCell ref="I3:J3"/>
    <mergeCell ref="K3:L3"/>
    <mergeCell ref="A2:D4"/>
    <mergeCell ref="E2:E4"/>
    <mergeCell ref="F2:F4"/>
    <mergeCell ref="G2:G4"/>
    <mergeCell ref="B10:D10"/>
    <mergeCell ref="B11:D11"/>
    <mergeCell ref="A5:B7"/>
    <mergeCell ref="C5:D5"/>
    <mergeCell ref="C6:D6"/>
    <mergeCell ref="C7:D7"/>
    <mergeCell ref="B18:D18"/>
    <mergeCell ref="B19:B20"/>
    <mergeCell ref="C19:D19"/>
    <mergeCell ref="C20:D20"/>
    <mergeCell ref="B12:D12"/>
    <mergeCell ref="B13:B16"/>
    <mergeCell ref="C13:C14"/>
    <mergeCell ref="C15:C16"/>
    <mergeCell ref="B25:D25"/>
    <mergeCell ref="B26:D26"/>
    <mergeCell ref="A22:A26"/>
    <mergeCell ref="B21:D21"/>
    <mergeCell ref="B22:D22"/>
    <mergeCell ref="B23:D23"/>
    <mergeCell ref="B24:D24"/>
    <mergeCell ref="A8:A21"/>
    <mergeCell ref="B8:D8"/>
    <mergeCell ref="B9:D9"/>
  </mergeCells>
  <printOptions/>
  <pageMargins left="0.75" right="0.75" top="0.49" bottom="0.59" header="0.21" footer="0.23"/>
  <pageSetup horizontalDpi="1200" verticalDpi="1200" orientation="landscape" paperSize="9" r:id="rId1"/>
  <headerFooter alignWithMargins="0">
    <oddFooter>&amp;R16</oddFooter>
  </headerFooter>
</worksheet>
</file>

<file path=xl/worksheets/sheet15.xml><?xml version="1.0" encoding="utf-8"?>
<worksheet xmlns="http://schemas.openxmlformats.org/spreadsheetml/2006/main" xmlns:r="http://schemas.openxmlformats.org/officeDocument/2006/relationships">
  <dimension ref="A1:O77"/>
  <sheetViews>
    <sheetView zoomScalePageLayoutView="0" workbookViewId="0" topLeftCell="A7">
      <selection activeCell="H31" sqref="H31"/>
    </sheetView>
  </sheetViews>
  <sheetFormatPr defaultColWidth="9.140625" defaultRowHeight="12.75"/>
  <cols>
    <col min="1" max="1" width="11.8515625" style="148" customWidth="1"/>
    <col min="2" max="2" width="9.140625" style="148" customWidth="1"/>
    <col min="3" max="3" width="9.8515625" style="148" customWidth="1"/>
    <col min="4" max="4" width="16.7109375" style="148" customWidth="1"/>
    <col min="5" max="5" width="9.140625" style="168" customWidth="1"/>
    <col min="6" max="6" width="13.28125" style="148" customWidth="1"/>
    <col min="7" max="7" width="10.57421875" style="148" customWidth="1"/>
    <col min="8" max="8" width="9.8515625" style="148" customWidth="1"/>
    <col min="9" max="10" width="10.421875" style="148" customWidth="1"/>
    <col min="11" max="11" width="9.8515625" style="148" customWidth="1"/>
    <col min="12" max="12" width="9.57421875" style="148" customWidth="1"/>
    <col min="13" max="16384" width="9.140625" style="148" customWidth="1"/>
  </cols>
  <sheetData>
    <row r="1" spans="1:12" ht="20.25" customHeight="1" thickBot="1">
      <c r="A1" s="727" t="s">
        <v>229</v>
      </c>
      <c r="B1" s="728"/>
      <c r="C1" s="728"/>
      <c r="D1" s="728"/>
      <c r="E1" s="728"/>
      <c r="F1" s="728"/>
      <c r="G1" s="728"/>
      <c r="H1" s="728"/>
      <c r="I1" s="728"/>
      <c r="J1" s="728"/>
      <c r="K1" s="728"/>
      <c r="L1" s="728"/>
    </row>
    <row r="2" spans="1:12" ht="12.75">
      <c r="A2" s="729" t="s">
        <v>124</v>
      </c>
      <c r="B2" s="730"/>
      <c r="C2" s="730"/>
      <c r="D2" s="731"/>
      <c r="E2" s="739" t="s">
        <v>60</v>
      </c>
      <c r="F2" s="730" t="s">
        <v>61</v>
      </c>
      <c r="G2" s="730" t="s">
        <v>125</v>
      </c>
      <c r="H2" s="730" t="s">
        <v>126</v>
      </c>
      <c r="I2" s="730"/>
      <c r="J2" s="730"/>
      <c r="K2" s="730"/>
      <c r="L2" s="744"/>
    </row>
    <row r="3" spans="1:12" ht="21.75" customHeight="1">
      <c r="A3" s="732"/>
      <c r="B3" s="733"/>
      <c r="C3" s="733"/>
      <c r="D3" s="734"/>
      <c r="E3" s="740"/>
      <c r="F3" s="742"/>
      <c r="G3" s="742"/>
      <c r="H3" s="742" t="s">
        <v>127</v>
      </c>
      <c r="I3" s="742" t="s">
        <v>128</v>
      </c>
      <c r="J3" s="742"/>
      <c r="K3" s="742" t="s">
        <v>129</v>
      </c>
      <c r="L3" s="745"/>
    </row>
    <row r="4" spans="1:12" ht="51" customHeight="1" thickBot="1">
      <c r="A4" s="735"/>
      <c r="B4" s="736"/>
      <c r="C4" s="737"/>
      <c r="D4" s="738"/>
      <c r="E4" s="741"/>
      <c r="F4" s="743"/>
      <c r="G4" s="743"/>
      <c r="H4" s="743"/>
      <c r="I4" s="205" t="s">
        <v>130</v>
      </c>
      <c r="J4" s="205" t="s">
        <v>131</v>
      </c>
      <c r="K4" s="205" t="s">
        <v>130</v>
      </c>
      <c r="L4" s="206" t="s">
        <v>131</v>
      </c>
    </row>
    <row r="5" spans="1:12" s="5" customFormat="1" ht="17.25" customHeight="1">
      <c r="A5" s="717" t="s">
        <v>812</v>
      </c>
      <c r="B5" s="718"/>
      <c r="C5" s="723" t="s">
        <v>138</v>
      </c>
      <c r="D5" s="724"/>
      <c r="E5" s="207" t="s">
        <v>813</v>
      </c>
      <c r="F5" s="244" t="s">
        <v>931</v>
      </c>
      <c r="G5" s="209">
        <f aca="true" t="shared" si="0" ref="G5:L5">G11+G25+G39+G53+G67</f>
        <v>0</v>
      </c>
      <c r="H5" s="209">
        <f t="shared" si="0"/>
        <v>11492.3</v>
      </c>
      <c r="I5" s="209">
        <f t="shared" si="0"/>
        <v>0</v>
      </c>
      <c r="J5" s="209">
        <f t="shared" si="0"/>
        <v>0</v>
      </c>
      <c r="K5" s="209">
        <f t="shared" si="0"/>
        <v>0</v>
      </c>
      <c r="L5" s="210">
        <f t="shared" si="0"/>
        <v>0</v>
      </c>
    </row>
    <row r="6" spans="1:12" s="5" customFormat="1" ht="24.75" customHeight="1">
      <c r="A6" s="719"/>
      <c r="B6" s="720"/>
      <c r="C6" s="723" t="s">
        <v>136</v>
      </c>
      <c r="D6" s="724"/>
      <c r="E6" s="207" t="s">
        <v>814</v>
      </c>
      <c r="F6" s="208" t="s">
        <v>67</v>
      </c>
      <c r="G6" s="209">
        <f>G9+G23+G37+G51+G65</f>
        <v>0</v>
      </c>
      <c r="H6" s="208" t="s">
        <v>145</v>
      </c>
      <c r="I6" s="208" t="s">
        <v>145</v>
      </c>
      <c r="J6" s="208" t="s">
        <v>145</v>
      </c>
      <c r="K6" s="208" t="s">
        <v>145</v>
      </c>
      <c r="L6" s="211" t="s">
        <v>145</v>
      </c>
    </row>
    <row r="7" spans="1:15" s="5" customFormat="1" ht="14.25" customHeight="1" thickBot="1">
      <c r="A7" s="721"/>
      <c r="B7" s="722"/>
      <c r="C7" s="723" t="s">
        <v>137</v>
      </c>
      <c r="D7" s="725"/>
      <c r="E7" s="207" t="s">
        <v>815</v>
      </c>
      <c r="F7" s="208" t="s">
        <v>67</v>
      </c>
      <c r="G7" s="209">
        <f>G10+G24+G38+G52+G66</f>
        <v>0</v>
      </c>
      <c r="H7" s="208" t="s">
        <v>145</v>
      </c>
      <c r="I7" s="208" t="s">
        <v>145</v>
      </c>
      <c r="J7" s="208" t="s">
        <v>145</v>
      </c>
      <c r="K7" s="208" t="s">
        <v>145</v>
      </c>
      <c r="L7" s="211" t="s">
        <v>145</v>
      </c>
      <c r="M7" s="212" t="str">
        <f>IF(G7&lt;=G6,"OK","Sociālā darba speciālistu skaits pārsniedz  kopējo darbinieku skaitu!")</f>
        <v>OK</v>
      </c>
      <c r="O7" s="148" t="str">
        <f>IF(AND(SUM(G5:L5)&gt;0,OR(SUM(G11:L11)&gt;0,SUM(G25:L25)&gt;0,SUM(G39:L39)&gt;0,SUM(G53:L53)&gt;0,SUM(G67:L67)&gt;0)),"OK",IF(SUM(G5:L77)=0,"OK","Pārbaudi naudu, cilvēku vai institūciju skaitu"))</f>
        <v>OK</v>
      </c>
    </row>
    <row r="8" spans="1:12" ht="25.5">
      <c r="A8" s="713" t="s">
        <v>187</v>
      </c>
      <c r="B8" s="704" t="s">
        <v>133</v>
      </c>
      <c r="C8" s="726"/>
      <c r="D8" s="726"/>
      <c r="E8" s="213" t="s">
        <v>424</v>
      </c>
      <c r="F8" s="214" t="s">
        <v>144</v>
      </c>
      <c r="G8" s="139">
        <v>0</v>
      </c>
      <c r="H8" s="139">
        <v>0</v>
      </c>
      <c r="I8" s="139">
        <v>0</v>
      </c>
      <c r="J8" s="139">
        <v>0</v>
      </c>
      <c r="K8" s="139">
        <v>0</v>
      </c>
      <c r="L8" s="140">
        <v>0</v>
      </c>
    </row>
    <row r="9" spans="1:12" ht="12.75">
      <c r="A9" s="714"/>
      <c r="B9" s="706" t="s">
        <v>136</v>
      </c>
      <c r="C9" s="707"/>
      <c r="D9" s="707"/>
      <c r="E9" s="160" t="s">
        <v>428</v>
      </c>
      <c r="F9" s="215" t="s">
        <v>67</v>
      </c>
      <c r="G9" s="141">
        <v>0</v>
      </c>
      <c r="H9" s="216" t="s">
        <v>145</v>
      </c>
      <c r="I9" s="216" t="s">
        <v>145</v>
      </c>
      <c r="J9" s="216" t="s">
        <v>145</v>
      </c>
      <c r="K9" s="216" t="s">
        <v>145</v>
      </c>
      <c r="L9" s="217" t="s">
        <v>145</v>
      </c>
    </row>
    <row r="10" spans="1:13" ht="12.75">
      <c r="A10" s="714"/>
      <c r="B10" s="706" t="s">
        <v>137</v>
      </c>
      <c r="C10" s="707"/>
      <c r="D10" s="707"/>
      <c r="E10" s="164" t="s">
        <v>430</v>
      </c>
      <c r="F10" s="215" t="s">
        <v>67</v>
      </c>
      <c r="G10" s="141">
        <v>0</v>
      </c>
      <c r="H10" s="216" t="s">
        <v>145</v>
      </c>
      <c r="I10" s="216" t="s">
        <v>145</v>
      </c>
      <c r="J10" s="216" t="s">
        <v>145</v>
      </c>
      <c r="K10" s="216" t="s">
        <v>145</v>
      </c>
      <c r="L10" s="217" t="s">
        <v>145</v>
      </c>
      <c r="M10" s="212" t="str">
        <f>IF(G10&lt;=G9,"OK","Sociālā darba speciālistu skaits pārsniedz  kopējo darbinieku skaitu!")</f>
        <v>OK</v>
      </c>
    </row>
    <row r="11" spans="1:15" ht="12.75">
      <c r="A11" s="714"/>
      <c r="B11" s="706" t="s">
        <v>138</v>
      </c>
      <c r="C11" s="707"/>
      <c r="D11" s="707"/>
      <c r="E11" s="160" t="s">
        <v>429</v>
      </c>
      <c r="F11" s="243" t="s">
        <v>931</v>
      </c>
      <c r="G11" s="141">
        <v>0</v>
      </c>
      <c r="H11" s="141">
        <v>0</v>
      </c>
      <c r="I11" s="141">
        <v>0</v>
      </c>
      <c r="J11" s="141">
        <v>0</v>
      </c>
      <c r="K11" s="141">
        <v>0</v>
      </c>
      <c r="L11" s="142">
        <v>0</v>
      </c>
      <c r="O11" s="218"/>
    </row>
    <row r="12" spans="1:12" ht="12.75">
      <c r="A12" s="714"/>
      <c r="B12" s="706" t="s">
        <v>139</v>
      </c>
      <c r="C12" s="707"/>
      <c r="D12" s="707"/>
      <c r="E12" s="160" t="s">
        <v>427</v>
      </c>
      <c r="F12" s="215" t="s">
        <v>67</v>
      </c>
      <c r="G12" s="219">
        <f aca="true" t="shared" si="1" ref="G12:L12">G13+G14+G15+G16</f>
        <v>0</v>
      </c>
      <c r="H12" s="219">
        <f t="shared" si="1"/>
        <v>0</v>
      </c>
      <c r="I12" s="219">
        <f t="shared" si="1"/>
        <v>0</v>
      </c>
      <c r="J12" s="219">
        <f t="shared" si="1"/>
        <v>0</v>
      </c>
      <c r="K12" s="219">
        <f t="shared" si="1"/>
        <v>0</v>
      </c>
      <c r="L12" s="220">
        <f t="shared" si="1"/>
        <v>0</v>
      </c>
    </row>
    <row r="13" spans="1:12" ht="12.75">
      <c r="A13" s="714"/>
      <c r="B13" s="712" t="s">
        <v>74</v>
      </c>
      <c r="C13" s="421" t="s">
        <v>140</v>
      </c>
      <c r="D13" s="156" t="s">
        <v>142</v>
      </c>
      <c r="E13" s="163" t="s">
        <v>431</v>
      </c>
      <c r="F13" s="215" t="s">
        <v>67</v>
      </c>
      <c r="G13" s="141">
        <v>0</v>
      </c>
      <c r="H13" s="141">
        <v>0</v>
      </c>
      <c r="I13" s="141">
        <v>0</v>
      </c>
      <c r="J13" s="141">
        <v>0</v>
      </c>
      <c r="K13" s="141">
        <v>0</v>
      </c>
      <c r="L13" s="142">
        <v>0</v>
      </c>
    </row>
    <row r="14" spans="1:12" ht="12.75">
      <c r="A14" s="714"/>
      <c r="B14" s="712"/>
      <c r="C14" s="421"/>
      <c r="D14" s="156" t="s">
        <v>143</v>
      </c>
      <c r="E14" s="163" t="s">
        <v>432</v>
      </c>
      <c r="F14" s="215" t="s">
        <v>67</v>
      </c>
      <c r="G14" s="141">
        <v>0</v>
      </c>
      <c r="H14" s="141">
        <v>0</v>
      </c>
      <c r="I14" s="141">
        <v>0</v>
      </c>
      <c r="J14" s="141">
        <v>0</v>
      </c>
      <c r="K14" s="141">
        <v>0</v>
      </c>
      <c r="L14" s="142">
        <v>0</v>
      </c>
    </row>
    <row r="15" spans="1:12" ht="12.75">
      <c r="A15" s="714"/>
      <c r="B15" s="712"/>
      <c r="C15" s="421" t="s">
        <v>141</v>
      </c>
      <c r="D15" s="156" t="s">
        <v>142</v>
      </c>
      <c r="E15" s="163" t="s">
        <v>433</v>
      </c>
      <c r="F15" s="215" t="s">
        <v>67</v>
      </c>
      <c r="G15" s="141">
        <v>0</v>
      </c>
      <c r="H15" s="141">
        <v>0</v>
      </c>
      <c r="I15" s="141">
        <v>0</v>
      </c>
      <c r="J15" s="141">
        <v>0</v>
      </c>
      <c r="K15" s="141">
        <v>0</v>
      </c>
      <c r="L15" s="142">
        <v>0</v>
      </c>
    </row>
    <row r="16" spans="1:12" ht="12.75">
      <c r="A16" s="714"/>
      <c r="B16" s="712"/>
      <c r="C16" s="421"/>
      <c r="D16" s="156" t="s">
        <v>143</v>
      </c>
      <c r="E16" s="163" t="s">
        <v>434</v>
      </c>
      <c r="F16" s="215" t="s">
        <v>67</v>
      </c>
      <c r="G16" s="141">
        <v>0</v>
      </c>
      <c r="H16" s="141">
        <v>0</v>
      </c>
      <c r="I16" s="141">
        <v>0</v>
      </c>
      <c r="J16" s="141">
        <v>0</v>
      </c>
      <c r="K16" s="141">
        <v>0</v>
      </c>
      <c r="L16" s="142">
        <v>0</v>
      </c>
    </row>
    <row r="17" spans="1:13" ht="24.75" customHeight="1">
      <c r="A17" s="715"/>
      <c r="B17" s="706" t="s">
        <v>152</v>
      </c>
      <c r="C17" s="710"/>
      <c r="D17" s="710"/>
      <c r="E17" s="163" t="s">
        <v>435</v>
      </c>
      <c r="F17" s="215" t="s">
        <v>67</v>
      </c>
      <c r="G17" s="141">
        <v>0</v>
      </c>
      <c r="H17" s="141">
        <v>0</v>
      </c>
      <c r="I17" s="141">
        <v>0</v>
      </c>
      <c r="J17" s="141">
        <v>0</v>
      </c>
      <c r="K17" s="141">
        <v>0</v>
      </c>
      <c r="L17" s="142">
        <v>0</v>
      </c>
      <c r="M17" s="212" t="str">
        <f>IF(AND(G17&lt;=G12,H17&lt;=H12,I17&lt;=I12,J17&lt;=J12,K17&lt;=K12,L17&lt;=L12),"OK","Klientu skaits, kuriem pakalpojumu pilnībā vai daļēji apmaksā pašvaldība, ir lielāks kā kopējais pakalpojumus saņēmušo klientu skaits!")</f>
        <v>OK</v>
      </c>
    </row>
    <row r="18" spans="1:12" ht="14.25" customHeight="1">
      <c r="A18" s="715"/>
      <c r="B18" s="706" t="s">
        <v>169</v>
      </c>
      <c r="C18" s="710"/>
      <c r="D18" s="710"/>
      <c r="E18" s="160" t="s">
        <v>436</v>
      </c>
      <c r="F18" s="208" t="s">
        <v>67</v>
      </c>
      <c r="G18" s="219">
        <f aca="true" t="shared" si="2" ref="G18:L18">G19+G20</f>
        <v>0</v>
      </c>
      <c r="H18" s="219">
        <f t="shared" si="2"/>
        <v>0</v>
      </c>
      <c r="I18" s="219">
        <f t="shared" si="2"/>
        <v>0</v>
      </c>
      <c r="J18" s="219">
        <f t="shared" si="2"/>
        <v>0</v>
      </c>
      <c r="K18" s="219">
        <f t="shared" si="2"/>
        <v>0</v>
      </c>
      <c r="L18" s="220">
        <f t="shared" si="2"/>
        <v>0</v>
      </c>
    </row>
    <row r="19" spans="1:12" ht="19.5" customHeight="1">
      <c r="A19" s="715"/>
      <c r="B19" s="706" t="s">
        <v>170</v>
      </c>
      <c r="C19" s="706" t="s">
        <v>171</v>
      </c>
      <c r="D19" s="711"/>
      <c r="E19" s="164" t="s">
        <v>437</v>
      </c>
      <c r="F19" s="208" t="s">
        <v>67</v>
      </c>
      <c r="G19" s="141">
        <v>0</v>
      </c>
      <c r="H19" s="141">
        <v>0</v>
      </c>
      <c r="I19" s="141">
        <v>0</v>
      </c>
      <c r="J19" s="141">
        <v>0</v>
      </c>
      <c r="K19" s="141">
        <v>0</v>
      </c>
      <c r="L19" s="142">
        <v>0</v>
      </c>
    </row>
    <row r="20" spans="1:12" ht="19.5" customHeight="1">
      <c r="A20" s="715"/>
      <c r="B20" s="711"/>
      <c r="C20" s="706" t="s">
        <v>172</v>
      </c>
      <c r="D20" s="711"/>
      <c r="E20" s="164" t="s">
        <v>438</v>
      </c>
      <c r="F20" s="208" t="s">
        <v>67</v>
      </c>
      <c r="G20" s="141">
        <v>0</v>
      </c>
      <c r="H20" s="141">
        <v>0</v>
      </c>
      <c r="I20" s="141">
        <v>0</v>
      </c>
      <c r="J20" s="141">
        <v>0</v>
      </c>
      <c r="K20" s="141">
        <v>0</v>
      </c>
      <c r="L20" s="142">
        <v>0</v>
      </c>
    </row>
    <row r="21" spans="1:12" ht="28.5" customHeight="1" thickBot="1">
      <c r="A21" s="715"/>
      <c r="B21" s="706" t="s">
        <v>173</v>
      </c>
      <c r="C21" s="711"/>
      <c r="D21" s="711"/>
      <c r="E21" s="160" t="s">
        <v>439</v>
      </c>
      <c r="F21" s="208" t="s">
        <v>67</v>
      </c>
      <c r="G21" s="141">
        <v>0</v>
      </c>
      <c r="H21" s="141">
        <v>0</v>
      </c>
      <c r="I21" s="141">
        <v>0</v>
      </c>
      <c r="J21" s="141">
        <v>0</v>
      </c>
      <c r="K21" s="141">
        <v>0</v>
      </c>
      <c r="L21" s="142">
        <v>0</v>
      </c>
    </row>
    <row r="22" spans="1:12" ht="25.5">
      <c r="A22" s="713" t="s">
        <v>188</v>
      </c>
      <c r="B22" s="704" t="s">
        <v>133</v>
      </c>
      <c r="C22" s="705"/>
      <c r="D22" s="705"/>
      <c r="E22" s="221" t="s">
        <v>440</v>
      </c>
      <c r="F22" s="222" t="s">
        <v>144</v>
      </c>
      <c r="G22" s="145">
        <v>0</v>
      </c>
      <c r="H22" s="145">
        <v>1</v>
      </c>
      <c r="I22" s="145">
        <v>0</v>
      </c>
      <c r="J22" s="145">
        <v>0</v>
      </c>
      <c r="K22" s="145">
        <v>0</v>
      </c>
      <c r="L22" s="146">
        <v>0</v>
      </c>
    </row>
    <row r="23" spans="1:12" ht="12.75">
      <c r="A23" s="714"/>
      <c r="B23" s="706" t="s">
        <v>136</v>
      </c>
      <c r="C23" s="707"/>
      <c r="D23" s="707"/>
      <c r="E23" s="160" t="s">
        <v>441</v>
      </c>
      <c r="F23" s="215" t="s">
        <v>67</v>
      </c>
      <c r="G23" s="141">
        <v>0</v>
      </c>
      <c r="H23" s="216" t="s">
        <v>145</v>
      </c>
      <c r="I23" s="216" t="s">
        <v>145</v>
      </c>
      <c r="J23" s="216" t="s">
        <v>145</v>
      </c>
      <c r="K23" s="216" t="s">
        <v>145</v>
      </c>
      <c r="L23" s="217" t="s">
        <v>145</v>
      </c>
    </row>
    <row r="24" spans="1:13" ht="12.75">
      <c r="A24" s="714"/>
      <c r="B24" s="706" t="s">
        <v>137</v>
      </c>
      <c r="C24" s="707"/>
      <c r="D24" s="707"/>
      <c r="E24" s="163" t="s">
        <v>442</v>
      </c>
      <c r="F24" s="215" t="s">
        <v>67</v>
      </c>
      <c r="G24" s="141">
        <v>0</v>
      </c>
      <c r="H24" s="216" t="s">
        <v>145</v>
      </c>
      <c r="I24" s="216" t="s">
        <v>145</v>
      </c>
      <c r="J24" s="216" t="s">
        <v>145</v>
      </c>
      <c r="K24" s="216" t="s">
        <v>145</v>
      </c>
      <c r="L24" s="217" t="s">
        <v>145</v>
      </c>
      <c r="M24" s="212" t="str">
        <f>IF(G24&lt;=G23,"OK","Sociālā darba speciālistu skaits pārsniedz  kopējo darbinieku skaitu!")</f>
        <v>OK</v>
      </c>
    </row>
    <row r="25" spans="1:12" ht="12.75">
      <c r="A25" s="714"/>
      <c r="B25" s="706" t="s">
        <v>138</v>
      </c>
      <c r="C25" s="707"/>
      <c r="D25" s="707"/>
      <c r="E25" s="160" t="s">
        <v>443</v>
      </c>
      <c r="F25" s="243" t="s">
        <v>931</v>
      </c>
      <c r="G25" s="141">
        <v>0</v>
      </c>
      <c r="H25" s="141">
        <v>11492.3</v>
      </c>
      <c r="I25" s="141">
        <v>0</v>
      </c>
      <c r="J25" s="141">
        <v>0</v>
      </c>
      <c r="K25" s="141">
        <v>0</v>
      </c>
      <c r="L25" s="142">
        <v>0</v>
      </c>
    </row>
    <row r="26" spans="1:12" ht="12.75">
      <c r="A26" s="714"/>
      <c r="B26" s="706" t="s">
        <v>139</v>
      </c>
      <c r="C26" s="707"/>
      <c r="D26" s="707"/>
      <c r="E26" s="160" t="s">
        <v>444</v>
      </c>
      <c r="F26" s="215" t="s">
        <v>67</v>
      </c>
      <c r="G26" s="219">
        <f aca="true" t="shared" si="3" ref="G26:L26">G27+G28+G29+G30</f>
        <v>0</v>
      </c>
      <c r="H26" s="219">
        <f t="shared" si="3"/>
        <v>5</v>
      </c>
      <c r="I26" s="219">
        <f t="shared" si="3"/>
        <v>0</v>
      </c>
      <c r="J26" s="219">
        <f t="shared" si="3"/>
        <v>0</v>
      </c>
      <c r="K26" s="219">
        <f t="shared" si="3"/>
        <v>0</v>
      </c>
      <c r="L26" s="220">
        <f t="shared" si="3"/>
        <v>0</v>
      </c>
    </row>
    <row r="27" spans="1:12" ht="12.75">
      <c r="A27" s="714"/>
      <c r="B27" s="712" t="s">
        <v>74</v>
      </c>
      <c r="C27" s="421" t="s">
        <v>140</v>
      </c>
      <c r="D27" s="156" t="s">
        <v>142</v>
      </c>
      <c r="E27" s="163" t="s">
        <v>445</v>
      </c>
      <c r="F27" s="215" t="s">
        <v>67</v>
      </c>
      <c r="G27" s="141">
        <v>0</v>
      </c>
      <c r="H27" s="141">
        <v>0</v>
      </c>
      <c r="I27" s="141">
        <v>0</v>
      </c>
      <c r="J27" s="141">
        <v>0</v>
      </c>
      <c r="K27" s="141">
        <v>0</v>
      </c>
      <c r="L27" s="142">
        <v>0</v>
      </c>
    </row>
    <row r="28" spans="1:12" ht="12.75">
      <c r="A28" s="714"/>
      <c r="B28" s="712"/>
      <c r="C28" s="421"/>
      <c r="D28" s="156" t="s">
        <v>143</v>
      </c>
      <c r="E28" s="163" t="s">
        <v>446</v>
      </c>
      <c r="F28" s="215" t="s">
        <v>67</v>
      </c>
      <c r="G28" s="141">
        <v>0</v>
      </c>
      <c r="H28" s="141">
        <v>0</v>
      </c>
      <c r="I28" s="141">
        <v>0</v>
      </c>
      <c r="J28" s="141">
        <v>0</v>
      </c>
      <c r="K28" s="141">
        <v>0</v>
      </c>
      <c r="L28" s="142">
        <v>0</v>
      </c>
    </row>
    <row r="29" spans="1:12" ht="12.75">
      <c r="A29" s="714"/>
      <c r="B29" s="712"/>
      <c r="C29" s="421" t="s">
        <v>141</v>
      </c>
      <c r="D29" s="156" t="s">
        <v>142</v>
      </c>
      <c r="E29" s="163" t="s">
        <v>447</v>
      </c>
      <c r="F29" s="215" t="s">
        <v>67</v>
      </c>
      <c r="G29" s="141">
        <v>0</v>
      </c>
      <c r="H29" s="141">
        <v>2</v>
      </c>
      <c r="I29" s="141">
        <v>0</v>
      </c>
      <c r="J29" s="141">
        <v>0</v>
      </c>
      <c r="K29" s="141">
        <v>0</v>
      </c>
      <c r="L29" s="142">
        <v>0</v>
      </c>
    </row>
    <row r="30" spans="1:12" ht="12.75">
      <c r="A30" s="714"/>
      <c r="B30" s="712"/>
      <c r="C30" s="421"/>
      <c r="D30" s="156" t="s">
        <v>143</v>
      </c>
      <c r="E30" s="163" t="s">
        <v>448</v>
      </c>
      <c r="F30" s="215" t="s">
        <v>67</v>
      </c>
      <c r="G30" s="141">
        <v>0</v>
      </c>
      <c r="H30" s="141">
        <v>3</v>
      </c>
      <c r="I30" s="141">
        <v>0</v>
      </c>
      <c r="J30" s="141">
        <v>0</v>
      </c>
      <c r="K30" s="141">
        <v>0</v>
      </c>
      <c r="L30" s="142">
        <v>0</v>
      </c>
    </row>
    <row r="31" spans="1:13" ht="24" customHeight="1">
      <c r="A31" s="715"/>
      <c r="B31" s="706" t="s">
        <v>152</v>
      </c>
      <c r="C31" s="710"/>
      <c r="D31" s="710"/>
      <c r="E31" s="164" t="s">
        <v>497</v>
      </c>
      <c r="F31" s="215" t="s">
        <v>67</v>
      </c>
      <c r="G31" s="141">
        <v>0</v>
      </c>
      <c r="H31" s="141">
        <v>0</v>
      </c>
      <c r="I31" s="141">
        <v>0</v>
      </c>
      <c r="J31" s="141">
        <v>0</v>
      </c>
      <c r="K31" s="141">
        <v>0</v>
      </c>
      <c r="L31" s="142">
        <v>0</v>
      </c>
      <c r="M31" s="212" t="str">
        <f>IF(AND(G31&lt;=G26,H31&lt;=H26,I31&lt;=I26,J31&lt;=J26,K31&lt;=K26,L31&lt;=L26),"OK","Klientu skaits, kuriem pakalpojumu pilnībā vai daļēji apmaksā pašvaldība, ir lielāks kā kopējais pakalpojumus saņēmušo klientu skaits!")</f>
        <v>OK</v>
      </c>
    </row>
    <row r="32" spans="1:12" ht="12.75">
      <c r="A32" s="715"/>
      <c r="B32" s="706" t="s">
        <v>169</v>
      </c>
      <c r="C32" s="710"/>
      <c r="D32" s="710"/>
      <c r="E32" s="160" t="s">
        <v>449</v>
      </c>
      <c r="F32" s="208" t="s">
        <v>67</v>
      </c>
      <c r="G32" s="219">
        <f aca="true" t="shared" si="4" ref="G32:L32">G33+G34</f>
        <v>0</v>
      </c>
      <c r="H32" s="219">
        <f t="shared" si="4"/>
        <v>0</v>
      </c>
      <c r="I32" s="219">
        <f t="shared" si="4"/>
        <v>0</v>
      </c>
      <c r="J32" s="219">
        <f t="shared" si="4"/>
        <v>0</v>
      </c>
      <c r="K32" s="219">
        <f t="shared" si="4"/>
        <v>0</v>
      </c>
      <c r="L32" s="220">
        <f t="shared" si="4"/>
        <v>0</v>
      </c>
    </row>
    <row r="33" spans="1:12" ht="12.75">
      <c r="A33" s="715"/>
      <c r="B33" s="706" t="s">
        <v>170</v>
      </c>
      <c r="C33" s="706" t="s">
        <v>171</v>
      </c>
      <c r="D33" s="711"/>
      <c r="E33" s="164" t="s">
        <v>450</v>
      </c>
      <c r="F33" s="208" t="s">
        <v>67</v>
      </c>
      <c r="G33" s="141">
        <v>0</v>
      </c>
      <c r="H33" s="141">
        <v>0</v>
      </c>
      <c r="I33" s="141">
        <v>0</v>
      </c>
      <c r="J33" s="141">
        <v>0</v>
      </c>
      <c r="K33" s="141">
        <v>0</v>
      </c>
      <c r="L33" s="142">
        <v>0</v>
      </c>
    </row>
    <row r="34" spans="1:12" ht="25.5" customHeight="1">
      <c r="A34" s="715"/>
      <c r="B34" s="711"/>
      <c r="C34" s="706" t="s">
        <v>172</v>
      </c>
      <c r="D34" s="711"/>
      <c r="E34" s="164" t="s">
        <v>451</v>
      </c>
      <c r="F34" s="208" t="s">
        <v>67</v>
      </c>
      <c r="G34" s="141">
        <v>0</v>
      </c>
      <c r="H34" s="141">
        <v>0</v>
      </c>
      <c r="I34" s="141">
        <v>0</v>
      </c>
      <c r="J34" s="141">
        <v>0</v>
      </c>
      <c r="K34" s="141">
        <v>0</v>
      </c>
      <c r="L34" s="142">
        <v>0</v>
      </c>
    </row>
    <row r="35" spans="1:12" ht="24.75" customHeight="1" thickBot="1">
      <c r="A35" s="716"/>
      <c r="B35" s="708" t="s">
        <v>173</v>
      </c>
      <c r="C35" s="709"/>
      <c r="D35" s="709"/>
      <c r="E35" s="167" t="s">
        <v>452</v>
      </c>
      <c r="F35" s="223" t="s">
        <v>67</v>
      </c>
      <c r="G35" s="143">
        <v>0</v>
      </c>
      <c r="H35" s="143">
        <v>0</v>
      </c>
      <c r="I35" s="143">
        <v>0</v>
      </c>
      <c r="J35" s="143">
        <v>0</v>
      </c>
      <c r="K35" s="143">
        <v>0</v>
      </c>
      <c r="L35" s="144">
        <v>0</v>
      </c>
    </row>
    <row r="36" spans="1:12" ht="25.5">
      <c r="A36" s="713" t="s">
        <v>189</v>
      </c>
      <c r="B36" s="704" t="s">
        <v>133</v>
      </c>
      <c r="C36" s="705"/>
      <c r="D36" s="705"/>
      <c r="E36" s="221" t="s">
        <v>453</v>
      </c>
      <c r="F36" s="222" t="s">
        <v>144</v>
      </c>
      <c r="G36" s="145">
        <v>0</v>
      </c>
      <c r="H36" s="145">
        <v>0</v>
      </c>
      <c r="I36" s="145">
        <v>0</v>
      </c>
      <c r="J36" s="145">
        <v>0</v>
      </c>
      <c r="K36" s="145">
        <v>0</v>
      </c>
      <c r="L36" s="146">
        <v>0</v>
      </c>
    </row>
    <row r="37" spans="1:12" ht="12.75">
      <c r="A37" s="714"/>
      <c r="B37" s="706" t="s">
        <v>136</v>
      </c>
      <c r="C37" s="707"/>
      <c r="D37" s="707"/>
      <c r="E37" s="160" t="s">
        <v>454</v>
      </c>
      <c r="F37" s="215" t="s">
        <v>67</v>
      </c>
      <c r="G37" s="141">
        <v>0</v>
      </c>
      <c r="H37" s="216" t="s">
        <v>145</v>
      </c>
      <c r="I37" s="216" t="s">
        <v>145</v>
      </c>
      <c r="J37" s="216" t="s">
        <v>145</v>
      </c>
      <c r="K37" s="216" t="s">
        <v>145</v>
      </c>
      <c r="L37" s="217" t="s">
        <v>145</v>
      </c>
    </row>
    <row r="38" spans="1:13" ht="12.75">
      <c r="A38" s="714"/>
      <c r="B38" s="706" t="s">
        <v>137</v>
      </c>
      <c r="C38" s="707"/>
      <c r="D38" s="707"/>
      <c r="E38" s="164" t="s">
        <v>455</v>
      </c>
      <c r="F38" s="215" t="s">
        <v>67</v>
      </c>
      <c r="G38" s="141">
        <v>0</v>
      </c>
      <c r="H38" s="216" t="s">
        <v>145</v>
      </c>
      <c r="I38" s="216" t="s">
        <v>145</v>
      </c>
      <c r="J38" s="216" t="s">
        <v>145</v>
      </c>
      <c r="K38" s="216" t="s">
        <v>145</v>
      </c>
      <c r="L38" s="217" t="s">
        <v>145</v>
      </c>
      <c r="M38" s="212" t="str">
        <f>IF(G38&lt;=G37,"OK","Sociālā darba speciālistu skaits pārsniedz  kopējo darbinieku skaitu!")</f>
        <v>OK</v>
      </c>
    </row>
    <row r="39" spans="1:12" ht="12.75">
      <c r="A39" s="714"/>
      <c r="B39" s="706" t="s">
        <v>138</v>
      </c>
      <c r="C39" s="707"/>
      <c r="D39" s="707"/>
      <c r="E39" s="160" t="s">
        <v>456</v>
      </c>
      <c r="F39" s="243" t="s">
        <v>931</v>
      </c>
      <c r="G39" s="141">
        <v>0</v>
      </c>
      <c r="H39" s="141">
        <v>0</v>
      </c>
      <c r="I39" s="141">
        <v>0</v>
      </c>
      <c r="J39" s="141">
        <v>0</v>
      </c>
      <c r="K39" s="141">
        <v>0</v>
      </c>
      <c r="L39" s="142">
        <v>0</v>
      </c>
    </row>
    <row r="40" spans="1:12" ht="12.75">
      <c r="A40" s="714"/>
      <c r="B40" s="706" t="s">
        <v>139</v>
      </c>
      <c r="C40" s="707"/>
      <c r="D40" s="707"/>
      <c r="E40" s="160" t="s">
        <v>457</v>
      </c>
      <c r="F40" s="215" t="s">
        <v>67</v>
      </c>
      <c r="G40" s="219">
        <f aca="true" t="shared" si="5" ref="G40:L40">G41+G42+G43+G44</f>
        <v>0</v>
      </c>
      <c r="H40" s="219">
        <f t="shared" si="5"/>
        <v>0</v>
      </c>
      <c r="I40" s="219">
        <f t="shared" si="5"/>
        <v>0</v>
      </c>
      <c r="J40" s="219">
        <f t="shared" si="5"/>
        <v>0</v>
      </c>
      <c r="K40" s="219">
        <f t="shared" si="5"/>
        <v>0</v>
      </c>
      <c r="L40" s="220">
        <f t="shared" si="5"/>
        <v>0</v>
      </c>
    </row>
    <row r="41" spans="1:12" ht="12.75">
      <c r="A41" s="714"/>
      <c r="B41" s="712" t="s">
        <v>74</v>
      </c>
      <c r="C41" s="421" t="s">
        <v>140</v>
      </c>
      <c r="D41" s="156" t="s">
        <v>142</v>
      </c>
      <c r="E41" s="163" t="s">
        <v>458</v>
      </c>
      <c r="F41" s="215" t="s">
        <v>67</v>
      </c>
      <c r="G41" s="141">
        <v>0</v>
      </c>
      <c r="H41" s="141">
        <v>0</v>
      </c>
      <c r="I41" s="141">
        <v>0</v>
      </c>
      <c r="J41" s="141">
        <v>0</v>
      </c>
      <c r="K41" s="141">
        <v>0</v>
      </c>
      <c r="L41" s="142">
        <v>0</v>
      </c>
    </row>
    <row r="42" spans="1:12" ht="12.75">
      <c r="A42" s="714"/>
      <c r="B42" s="712"/>
      <c r="C42" s="421"/>
      <c r="D42" s="156" t="s">
        <v>143</v>
      </c>
      <c r="E42" s="163" t="s">
        <v>459</v>
      </c>
      <c r="F42" s="215" t="s">
        <v>67</v>
      </c>
      <c r="G42" s="141">
        <v>0</v>
      </c>
      <c r="H42" s="141">
        <v>0</v>
      </c>
      <c r="I42" s="141">
        <v>0</v>
      </c>
      <c r="J42" s="141">
        <v>0</v>
      </c>
      <c r="K42" s="141">
        <v>0</v>
      </c>
      <c r="L42" s="142">
        <v>0</v>
      </c>
    </row>
    <row r="43" spans="1:12" ht="12.75">
      <c r="A43" s="714"/>
      <c r="B43" s="712"/>
      <c r="C43" s="421" t="s">
        <v>141</v>
      </c>
      <c r="D43" s="156" t="s">
        <v>142</v>
      </c>
      <c r="E43" s="163" t="s">
        <v>460</v>
      </c>
      <c r="F43" s="215" t="s">
        <v>67</v>
      </c>
      <c r="G43" s="141">
        <v>0</v>
      </c>
      <c r="H43" s="141">
        <v>0</v>
      </c>
      <c r="I43" s="141">
        <v>0</v>
      </c>
      <c r="J43" s="141">
        <v>0</v>
      </c>
      <c r="K43" s="141">
        <v>0</v>
      </c>
      <c r="L43" s="142">
        <v>0</v>
      </c>
    </row>
    <row r="44" spans="1:12" ht="12.75">
      <c r="A44" s="714"/>
      <c r="B44" s="712"/>
      <c r="C44" s="421"/>
      <c r="D44" s="156" t="s">
        <v>143</v>
      </c>
      <c r="E44" s="163" t="s">
        <v>461</v>
      </c>
      <c r="F44" s="215" t="s">
        <v>67</v>
      </c>
      <c r="G44" s="141">
        <v>0</v>
      </c>
      <c r="H44" s="141">
        <v>0</v>
      </c>
      <c r="I44" s="141">
        <v>0</v>
      </c>
      <c r="J44" s="141">
        <v>0</v>
      </c>
      <c r="K44" s="141">
        <v>0</v>
      </c>
      <c r="L44" s="142">
        <v>0</v>
      </c>
    </row>
    <row r="45" spans="1:13" ht="27.75" customHeight="1">
      <c r="A45" s="715"/>
      <c r="B45" s="706" t="s">
        <v>152</v>
      </c>
      <c r="C45" s="710"/>
      <c r="D45" s="710"/>
      <c r="E45" s="164" t="s">
        <v>498</v>
      </c>
      <c r="F45" s="215" t="s">
        <v>67</v>
      </c>
      <c r="G45" s="141">
        <v>0</v>
      </c>
      <c r="H45" s="141">
        <v>0</v>
      </c>
      <c r="I45" s="141">
        <v>0</v>
      </c>
      <c r="J45" s="141">
        <v>0</v>
      </c>
      <c r="K45" s="141">
        <v>0</v>
      </c>
      <c r="L45" s="142">
        <v>0</v>
      </c>
      <c r="M45" s="212" t="str">
        <f>IF(AND(G45&lt;=G40,H45&lt;=H40,I45&lt;=I40,J45&lt;=J40,K45&lt;=K40,L45&lt;=L40),"OK","Klientu skaits, kuriem pakalpojumu pilnībā vai daļēji apmaksā pašvaldība, ir lielāks kā kopējais pakalpojumus saņēmušo klientu skaits!")</f>
        <v>OK</v>
      </c>
    </row>
    <row r="46" spans="1:12" ht="12.75">
      <c r="A46" s="715"/>
      <c r="B46" s="706" t="s">
        <v>169</v>
      </c>
      <c r="C46" s="710"/>
      <c r="D46" s="710"/>
      <c r="E46" s="160" t="s">
        <v>462</v>
      </c>
      <c r="F46" s="208" t="s">
        <v>67</v>
      </c>
      <c r="G46" s="219">
        <f aca="true" t="shared" si="6" ref="G46:L46">G47+G48</f>
        <v>0</v>
      </c>
      <c r="H46" s="219">
        <f t="shared" si="6"/>
        <v>0</v>
      </c>
      <c r="I46" s="219">
        <f t="shared" si="6"/>
        <v>0</v>
      </c>
      <c r="J46" s="219">
        <f t="shared" si="6"/>
        <v>0</v>
      </c>
      <c r="K46" s="219">
        <f t="shared" si="6"/>
        <v>0</v>
      </c>
      <c r="L46" s="220">
        <f t="shared" si="6"/>
        <v>0</v>
      </c>
    </row>
    <row r="47" spans="1:12" ht="12.75">
      <c r="A47" s="715"/>
      <c r="B47" s="706" t="s">
        <v>170</v>
      </c>
      <c r="C47" s="706" t="s">
        <v>171</v>
      </c>
      <c r="D47" s="711"/>
      <c r="E47" s="164" t="s">
        <v>463</v>
      </c>
      <c r="F47" s="208" t="s">
        <v>67</v>
      </c>
      <c r="G47" s="141">
        <v>0</v>
      </c>
      <c r="H47" s="141">
        <v>0</v>
      </c>
      <c r="I47" s="141">
        <v>0</v>
      </c>
      <c r="J47" s="141">
        <v>0</v>
      </c>
      <c r="K47" s="141">
        <v>0</v>
      </c>
      <c r="L47" s="142">
        <v>0</v>
      </c>
    </row>
    <row r="48" spans="1:12" ht="12.75">
      <c r="A48" s="715"/>
      <c r="B48" s="711"/>
      <c r="C48" s="706" t="s">
        <v>172</v>
      </c>
      <c r="D48" s="711"/>
      <c r="E48" s="164" t="s">
        <v>464</v>
      </c>
      <c r="F48" s="208" t="s">
        <v>67</v>
      </c>
      <c r="G48" s="141">
        <v>0</v>
      </c>
      <c r="H48" s="141">
        <v>0</v>
      </c>
      <c r="I48" s="141">
        <v>0</v>
      </c>
      <c r="J48" s="141">
        <v>0</v>
      </c>
      <c r="K48" s="141">
        <v>0</v>
      </c>
      <c r="L48" s="142">
        <v>0</v>
      </c>
    </row>
    <row r="49" spans="1:12" ht="27" customHeight="1" thickBot="1">
      <c r="A49" s="716"/>
      <c r="B49" s="706" t="s">
        <v>173</v>
      </c>
      <c r="C49" s="711"/>
      <c r="D49" s="711"/>
      <c r="E49" s="160" t="s">
        <v>465</v>
      </c>
      <c r="F49" s="208" t="s">
        <v>67</v>
      </c>
      <c r="G49" s="141">
        <v>0</v>
      </c>
      <c r="H49" s="141">
        <v>0</v>
      </c>
      <c r="I49" s="141">
        <v>0</v>
      </c>
      <c r="J49" s="141">
        <v>0</v>
      </c>
      <c r="K49" s="141">
        <v>0</v>
      </c>
      <c r="L49" s="142">
        <v>0</v>
      </c>
    </row>
    <row r="50" spans="1:12" ht="25.5">
      <c r="A50" s="713" t="s">
        <v>190</v>
      </c>
      <c r="B50" s="704" t="s">
        <v>133</v>
      </c>
      <c r="C50" s="705"/>
      <c r="D50" s="705"/>
      <c r="E50" s="221" t="s">
        <v>466</v>
      </c>
      <c r="F50" s="222" t="s">
        <v>144</v>
      </c>
      <c r="G50" s="145">
        <v>0</v>
      </c>
      <c r="H50" s="145">
        <v>0</v>
      </c>
      <c r="I50" s="145">
        <v>0</v>
      </c>
      <c r="J50" s="145">
        <v>0</v>
      </c>
      <c r="K50" s="145">
        <v>0</v>
      </c>
      <c r="L50" s="146">
        <v>0</v>
      </c>
    </row>
    <row r="51" spans="1:13" ht="12.75">
      <c r="A51" s="714"/>
      <c r="B51" s="706" t="s">
        <v>136</v>
      </c>
      <c r="C51" s="707"/>
      <c r="D51" s="707"/>
      <c r="E51" s="160" t="s">
        <v>425</v>
      </c>
      <c r="F51" s="215" t="s">
        <v>67</v>
      </c>
      <c r="G51" s="141">
        <v>0</v>
      </c>
      <c r="H51" s="216" t="s">
        <v>145</v>
      </c>
      <c r="I51" s="216" t="s">
        <v>145</v>
      </c>
      <c r="J51" s="216" t="s">
        <v>145</v>
      </c>
      <c r="K51" s="216" t="s">
        <v>145</v>
      </c>
      <c r="L51" s="217" t="s">
        <v>145</v>
      </c>
      <c r="M51" s="212"/>
    </row>
    <row r="52" spans="1:13" ht="12.75">
      <c r="A52" s="714"/>
      <c r="B52" s="706" t="s">
        <v>137</v>
      </c>
      <c r="C52" s="707"/>
      <c r="D52" s="707"/>
      <c r="E52" s="164" t="s">
        <v>467</v>
      </c>
      <c r="F52" s="215" t="s">
        <v>67</v>
      </c>
      <c r="G52" s="141">
        <v>0</v>
      </c>
      <c r="H52" s="216" t="s">
        <v>145</v>
      </c>
      <c r="I52" s="216" t="s">
        <v>145</v>
      </c>
      <c r="J52" s="216" t="s">
        <v>145</v>
      </c>
      <c r="K52" s="216" t="s">
        <v>145</v>
      </c>
      <c r="L52" s="217" t="s">
        <v>145</v>
      </c>
      <c r="M52" s="212" t="str">
        <f>IF(G52&lt;=G51,"OK","Sociālā darba speciālistu skaits pārsniedz  kopējo darbinieku skaitu!")</f>
        <v>OK</v>
      </c>
    </row>
    <row r="53" spans="1:12" ht="12.75">
      <c r="A53" s="714"/>
      <c r="B53" s="706" t="s">
        <v>138</v>
      </c>
      <c r="C53" s="707"/>
      <c r="D53" s="707"/>
      <c r="E53" s="160" t="s">
        <v>426</v>
      </c>
      <c r="F53" s="243" t="s">
        <v>931</v>
      </c>
      <c r="G53" s="141">
        <v>0</v>
      </c>
      <c r="H53" s="141">
        <v>0</v>
      </c>
      <c r="I53" s="141">
        <v>0</v>
      </c>
      <c r="J53" s="141">
        <v>0</v>
      </c>
      <c r="K53" s="141">
        <v>0</v>
      </c>
      <c r="L53" s="142">
        <v>0</v>
      </c>
    </row>
    <row r="54" spans="1:12" ht="12.75">
      <c r="A54" s="714"/>
      <c r="B54" s="706" t="s">
        <v>139</v>
      </c>
      <c r="C54" s="707"/>
      <c r="D54" s="707"/>
      <c r="E54" s="160" t="s">
        <v>468</v>
      </c>
      <c r="F54" s="215" t="s">
        <v>67</v>
      </c>
      <c r="G54" s="219">
        <f aca="true" t="shared" si="7" ref="G54:L54">G55+G56+G57+G58</f>
        <v>0</v>
      </c>
      <c r="H54" s="219">
        <f t="shared" si="7"/>
        <v>0</v>
      </c>
      <c r="I54" s="219">
        <f t="shared" si="7"/>
        <v>0</v>
      </c>
      <c r="J54" s="219">
        <f t="shared" si="7"/>
        <v>0</v>
      </c>
      <c r="K54" s="219">
        <f t="shared" si="7"/>
        <v>0</v>
      </c>
      <c r="L54" s="220">
        <f t="shared" si="7"/>
        <v>0</v>
      </c>
    </row>
    <row r="55" spans="1:12" ht="12.75">
      <c r="A55" s="714"/>
      <c r="B55" s="712" t="s">
        <v>74</v>
      </c>
      <c r="C55" s="421" t="s">
        <v>140</v>
      </c>
      <c r="D55" s="156" t="s">
        <v>142</v>
      </c>
      <c r="E55" s="163" t="s">
        <v>469</v>
      </c>
      <c r="F55" s="215" t="s">
        <v>67</v>
      </c>
      <c r="G55" s="141">
        <v>0</v>
      </c>
      <c r="H55" s="141">
        <v>0</v>
      </c>
      <c r="I55" s="141">
        <v>0</v>
      </c>
      <c r="J55" s="141">
        <v>0</v>
      </c>
      <c r="K55" s="141">
        <v>0</v>
      </c>
      <c r="L55" s="142">
        <v>0</v>
      </c>
    </row>
    <row r="56" spans="1:12" ht="12.75">
      <c r="A56" s="714"/>
      <c r="B56" s="712"/>
      <c r="C56" s="421"/>
      <c r="D56" s="156" t="s">
        <v>143</v>
      </c>
      <c r="E56" s="163" t="s">
        <v>470</v>
      </c>
      <c r="F56" s="215" t="s">
        <v>67</v>
      </c>
      <c r="G56" s="141">
        <v>0</v>
      </c>
      <c r="H56" s="141">
        <v>0</v>
      </c>
      <c r="I56" s="141">
        <v>0</v>
      </c>
      <c r="J56" s="141">
        <v>0</v>
      </c>
      <c r="K56" s="141">
        <v>0</v>
      </c>
      <c r="L56" s="142">
        <v>0</v>
      </c>
    </row>
    <row r="57" spans="1:12" ht="12.75">
      <c r="A57" s="714"/>
      <c r="B57" s="712"/>
      <c r="C57" s="421" t="s">
        <v>141</v>
      </c>
      <c r="D57" s="156" t="s">
        <v>142</v>
      </c>
      <c r="E57" s="163" t="s">
        <v>471</v>
      </c>
      <c r="F57" s="215" t="s">
        <v>67</v>
      </c>
      <c r="G57" s="141">
        <v>0</v>
      </c>
      <c r="H57" s="141">
        <v>0</v>
      </c>
      <c r="I57" s="141">
        <v>0</v>
      </c>
      <c r="J57" s="141">
        <v>0</v>
      </c>
      <c r="K57" s="141">
        <v>0</v>
      </c>
      <c r="L57" s="142">
        <v>0</v>
      </c>
    </row>
    <row r="58" spans="1:12" ht="12.75">
      <c r="A58" s="714"/>
      <c r="B58" s="712"/>
      <c r="C58" s="421"/>
      <c r="D58" s="156" t="s">
        <v>143</v>
      </c>
      <c r="E58" s="163" t="s">
        <v>472</v>
      </c>
      <c r="F58" s="215" t="s">
        <v>67</v>
      </c>
      <c r="G58" s="141">
        <v>0</v>
      </c>
      <c r="H58" s="141">
        <v>0</v>
      </c>
      <c r="I58" s="141">
        <v>0</v>
      </c>
      <c r="J58" s="141">
        <v>0</v>
      </c>
      <c r="K58" s="141">
        <v>0</v>
      </c>
      <c r="L58" s="142">
        <v>0</v>
      </c>
    </row>
    <row r="59" spans="1:13" ht="23.25" customHeight="1">
      <c r="A59" s="715"/>
      <c r="B59" s="706" t="s">
        <v>152</v>
      </c>
      <c r="C59" s="710"/>
      <c r="D59" s="710"/>
      <c r="E59" s="164" t="s">
        <v>499</v>
      </c>
      <c r="F59" s="215" t="s">
        <v>67</v>
      </c>
      <c r="G59" s="141">
        <v>0</v>
      </c>
      <c r="H59" s="141">
        <v>0</v>
      </c>
      <c r="I59" s="141">
        <v>0</v>
      </c>
      <c r="J59" s="141">
        <v>0</v>
      </c>
      <c r="K59" s="141">
        <v>0</v>
      </c>
      <c r="L59" s="142">
        <v>0</v>
      </c>
      <c r="M59" s="212" t="str">
        <f>IF(AND(G59&lt;=G54,H59&lt;=H54,I59&lt;=I54,J59&lt;=J54,K59&lt;=K54,L59&lt;=L54),"OK","Klientu skaits, kuriem pakalpojumu pilnībā vai daļēji apmaksā pašvaldība, ir lielāks kā kopējais pakalpojumus saņēmušo klientu skaits!")</f>
        <v>OK</v>
      </c>
    </row>
    <row r="60" spans="1:12" ht="12.75">
      <c r="A60" s="715"/>
      <c r="B60" s="706" t="s">
        <v>169</v>
      </c>
      <c r="C60" s="710"/>
      <c r="D60" s="710"/>
      <c r="E60" s="160" t="s">
        <v>473</v>
      </c>
      <c r="F60" s="208" t="s">
        <v>67</v>
      </c>
      <c r="G60" s="219">
        <f aca="true" t="shared" si="8" ref="G60:L60">G61+G62</f>
        <v>0</v>
      </c>
      <c r="H60" s="219">
        <f t="shared" si="8"/>
        <v>0</v>
      </c>
      <c r="I60" s="219">
        <f t="shared" si="8"/>
        <v>0</v>
      </c>
      <c r="J60" s="219">
        <f t="shared" si="8"/>
        <v>0</v>
      </c>
      <c r="K60" s="219">
        <f t="shared" si="8"/>
        <v>0</v>
      </c>
      <c r="L60" s="220">
        <f t="shared" si="8"/>
        <v>0</v>
      </c>
    </row>
    <row r="61" spans="1:12" ht="12.75">
      <c r="A61" s="715"/>
      <c r="B61" s="706" t="s">
        <v>170</v>
      </c>
      <c r="C61" s="706" t="s">
        <v>171</v>
      </c>
      <c r="D61" s="711"/>
      <c r="E61" s="164" t="s">
        <v>474</v>
      </c>
      <c r="F61" s="208" t="s">
        <v>67</v>
      </c>
      <c r="G61" s="141">
        <v>0</v>
      </c>
      <c r="H61" s="141">
        <v>0</v>
      </c>
      <c r="I61" s="141">
        <v>0</v>
      </c>
      <c r="J61" s="141">
        <v>0</v>
      </c>
      <c r="K61" s="141">
        <v>0</v>
      </c>
      <c r="L61" s="142">
        <v>0</v>
      </c>
    </row>
    <row r="62" spans="1:12" ht="12.75">
      <c r="A62" s="715"/>
      <c r="B62" s="711"/>
      <c r="C62" s="706" t="s">
        <v>172</v>
      </c>
      <c r="D62" s="711"/>
      <c r="E62" s="164" t="s">
        <v>475</v>
      </c>
      <c r="F62" s="208" t="s">
        <v>67</v>
      </c>
      <c r="G62" s="141">
        <v>0</v>
      </c>
      <c r="H62" s="141">
        <v>0</v>
      </c>
      <c r="I62" s="141">
        <v>0</v>
      </c>
      <c r="J62" s="141">
        <v>0</v>
      </c>
      <c r="K62" s="141">
        <v>0</v>
      </c>
      <c r="L62" s="142">
        <v>0</v>
      </c>
    </row>
    <row r="63" spans="1:12" ht="26.25" customHeight="1" thickBot="1">
      <c r="A63" s="716"/>
      <c r="B63" s="708" t="s">
        <v>173</v>
      </c>
      <c r="C63" s="709"/>
      <c r="D63" s="709"/>
      <c r="E63" s="167" t="s">
        <v>476</v>
      </c>
      <c r="F63" s="223" t="s">
        <v>67</v>
      </c>
      <c r="G63" s="143">
        <v>0</v>
      </c>
      <c r="H63" s="143">
        <v>0</v>
      </c>
      <c r="I63" s="143">
        <v>0</v>
      </c>
      <c r="J63" s="143">
        <v>0</v>
      </c>
      <c r="K63" s="143">
        <v>0</v>
      </c>
      <c r="L63" s="144">
        <v>0</v>
      </c>
    </row>
    <row r="64" spans="1:12" ht="25.5">
      <c r="A64" s="701" t="s">
        <v>191</v>
      </c>
      <c r="B64" s="704" t="s">
        <v>133</v>
      </c>
      <c r="C64" s="705"/>
      <c r="D64" s="705"/>
      <c r="E64" s="221" t="s">
        <v>477</v>
      </c>
      <c r="F64" s="222" t="s">
        <v>144</v>
      </c>
      <c r="G64" s="145">
        <v>0</v>
      </c>
      <c r="H64" s="145">
        <v>0</v>
      </c>
      <c r="I64" s="145">
        <v>0</v>
      </c>
      <c r="J64" s="145">
        <v>0</v>
      </c>
      <c r="K64" s="145">
        <v>0</v>
      </c>
      <c r="L64" s="146">
        <v>0</v>
      </c>
    </row>
    <row r="65" spans="1:12" ht="12.75">
      <c r="A65" s="702"/>
      <c r="B65" s="706" t="s">
        <v>136</v>
      </c>
      <c r="C65" s="707"/>
      <c r="D65" s="707"/>
      <c r="E65" s="160" t="s">
        <v>478</v>
      </c>
      <c r="F65" s="215" t="s">
        <v>67</v>
      </c>
      <c r="G65" s="141">
        <v>0</v>
      </c>
      <c r="H65" s="216" t="s">
        <v>145</v>
      </c>
      <c r="I65" s="216" t="s">
        <v>145</v>
      </c>
      <c r="J65" s="216" t="s">
        <v>145</v>
      </c>
      <c r="K65" s="216" t="s">
        <v>145</v>
      </c>
      <c r="L65" s="217" t="s">
        <v>145</v>
      </c>
    </row>
    <row r="66" spans="1:13" ht="12.75">
      <c r="A66" s="702"/>
      <c r="B66" s="706" t="s">
        <v>137</v>
      </c>
      <c r="C66" s="707"/>
      <c r="D66" s="707"/>
      <c r="E66" s="164" t="s">
        <v>479</v>
      </c>
      <c r="F66" s="215" t="s">
        <v>67</v>
      </c>
      <c r="G66" s="141">
        <v>0</v>
      </c>
      <c r="H66" s="216" t="s">
        <v>145</v>
      </c>
      <c r="I66" s="216" t="s">
        <v>145</v>
      </c>
      <c r="J66" s="216" t="s">
        <v>145</v>
      </c>
      <c r="K66" s="216" t="s">
        <v>145</v>
      </c>
      <c r="L66" s="217" t="s">
        <v>145</v>
      </c>
      <c r="M66" s="212" t="str">
        <f>IF(G66&lt;=G65,"OK","Sociālā darba speciālistu skaits pārsniedz  kopējo darbinieku skaitu!")</f>
        <v>OK</v>
      </c>
    </row>
    <row r="67" spans="1:12" ht="12.75">
      <c r="A67" s="702"/>
      <c r="B67" s="706" t="s">
        <v>138</v>
      </c>
      <c r="C67" s="707"/>
      <c r="D67" s="707"/>
      <c r="E67" s="160" t="s">
        <v>480</v>
      </c>
      <c r="F67" s="243" t="s">
        <v>931</v>
      </c>
      <c r="G67" s="141">
        <v>0</v>
      </c>
      <c r="H67" s="141">
        <v>0</v>
      </c>
      <c r="I67" s="141">
        <v>0</v>
      </c>
      <c r="J67" s="141">
        <v>0</v>
      </c>
      <c r="K67" s="141">
        <v>0</v>
      </c>
      <c r="L67" s="142">
        <v>0</v>
      </c>
    </row>
    <row r="68" spans="1:12" ht="12.75">
      <c r="A68" s="702"/>
      <c r="B68" s="706" t="s">
        <v>139</v>
      </c>
      <c r="C68" s="707"/>
      <c r="D68" s="707"/>
      <c r="E68" s="160" t="s">
        <v>481</v>
      </c>
      <c r="F68" s="215" t="s">
        <v>67</v>
      </c>
      <c r="G68" s="219">
        <f aca="true" t="shared" si="9" ref="G68:L68">G69+G70+G71+G72</f>
        <v>0</v>
      </c>
      <c r="H68" s="219">
        <f t="shared" si="9"/>
        <v>0</v>
      </c>
      <c r="I68" s="219">
        <f t="shared" si="9"/>
        <v>0</v>
      </c>
      <c r="J68" s="219">
        <f t="shared" si="9"/>
        <v>0</v>
      </c>
      <c r="K68" s="219">
        <f t="shared" si="9"/>
        <v>0</v>
      </c>
      <c r="L68" s="220">
        <f t="shared" si="9"/>
        <v>0</v>
      </c>
    </row>
    <row r="69" spans="1:12" ht="12.75">
      <c r="A69" s="702"/>
      <c r="B69" s="712" t="s">
        <v>74</v>
      </c>
      <c r="C69" s="421" t="s">
        <v>140</v>
      </c>
      <c r="D69" s="156" t="s">
        <v>142</v>
      </c>
      <c r="E69" s="163" t="s">
        <v>482</v>
      </c>
      <c r="F69" s="215" t="s">
        <v>67</v>
      </c>
      <c r="G69" s="141">
        <v>0</v>
      </c>
      <c r="H69" s="141">
        <v>0</v>
      </c>
      <c r="I69" s="141">
        <v>0</v>
      </c>
      <c r="J69" s="141">
        <v>0</v>
      </c>
      <c r="K69" s="141">
        <v>0</v>
      </c>
      <c r="L69" s="142">
        <v>0</v>
      </c>
    </row>
    <row r="70" spans="1:12" ht="12.75">
      <c r="A70" s="702"/>
      <c r="B70" s="712"/>
      <c r="C70" s="421"/>
      <c r="D70" s="156" t="s">
        <v>143</v>
      </c>
      <c r="E70" s="163" t="s">
        <v>483</v>
      </c>
      <c r="F70" s="215" t="s">
        <v>67</v>
      </c>
      <c r="G70" s="141">
        <v>0</v>
      </c>
      <c r="H70" s="141">
        <v>0</v>
      </c>
      <c r="I70" s="141">
        <v>0</v>
      </c>
      <c r="J70" s="141">
        <v>0</v>
      </c>
      <c r="K70" s="141">
        <v>0</v>
      </c>
      <c r="L70" s="142">
        <v>0</v>
      </c>
    </row>
    <row r="71" spans="1:12" ht="12.75">
      <c r="A71" s="702"/>
      <c r="B71" s="712"/>
      <c r="C71" s="421" t="s">
        <v>141</v>
      </c>
      <c r="D71" s="156" t="s">
        <v>142</v>
      </c>
      <c r="E71" s="163" t="s">
        <v>484</v>
      </c>
      <c r="F71" s="215" t="s">
        <v>67</v>
      </c>
      <c r="G71" s="141">
        <v>0</v>
      </c>
      <c r="H71" s="141">
        <v>0</v>
      </c>
      <c r="I71" s="141">
        <v>0</v>
      </c>
      <c r="J71" s="141">
        <v>0</v>
      </c>
      <c r="K71" s="141">
        <v>0</v>
      </c>
      <c r="L71" s="142">
        <v>0</v>
      </c>
    </row>
    <row r="72" spans="1:12" ht="12.75">
      <c r="A72" s="702"/>
      <c r="B72" s="712"/>
      <c r="C72" s="421"/>
      <c r="D72" s="156" t="s">
        <v>143</v>
      </c>
      <c r="E72" s="163" t="s">
        <v>485</v>
      </c>
      <c r="F72" s="215" t="s">
        <v>67</v>
      </c>
      <c r="G72" s="141">
        <v>0</v>
      </c>
      <c r="H72" s="141">
        <v>0</v>
      </c>
      <c r="I72" s="141">
        <v>0</v>
      </c>
      <c r="J72" s="141">
        <v>0</v>
      </c>
      <c r="K72" s="141">
        <v>0</v>
      </c>
      <c r="L72" s="142">
        <v>0</v>
      </c>
    </row>
    <row r="73" spans="1:13" ht="27" customHeight="1">
      <c r="A73" s="702"/>
      <c r="B73" s="706" t="s">
        <v>152</v>
      </c>
      <c r="C73" s="710"/>
      <c r="D73" s="710"/>
      <c r="E73" s="164" t="s">
        <v>500</v>
      </c>
      <c r="F73" s="215" t="s">
        <v>67</v>
      </c>
      <c r="G73" s="141">
        <v>0</v>
      </c>
      <c r="H73" s="141">
        <v>0</v>
      </c>
      <c r="I73" s="141">
        <v>0</v>
      </c>
      <c r="J73" s="141">
        <v>0</v>
      </c>
      <c r="K73" s="141">
        <v>0</v>
      </c>
      <c r="L73" s="142">
        <v>0</v>
      </c>
      <c r="M73" s="212" t="str">
        <f>IF(AND(G73&lt;=G68,H73&lt;=H68,I73&lt;=I68,J73&lt;=J68,K73&lt;=K68,L73&lt;=L68),"OK","Klientu skaits, kuriem pakalpojumu pilnībā vai daļēji apmaksā pašvaldība, ir lielāks kā kopējais pakalpojumus saņēmušo klientu skaits")</f>
        <v>OK</v>
      </c>
    </row>
    <row r="74" spans="1:12" ht="12.75">
      <c r="A74" s="702"/>
      <c r="B74" s="706" t="s">
        <v>169</v>
      </c>
      <c r="C74" s="710"/>
      <c r="D74" s="710"/>
      <c r="E74" s="160" t="s">
        <v>486</v>
      </c>
      <c r="F74" s="208" t="s">
        <v>67</v>
      </c>
      <c r="G74" s="219">
        <f aca="true" t="shared" si="10" ref="G74:L74">G75+G76</f>
        <v>0</v>
      </c>
      <c r="H74" s="219">
        <f t="shared" si="10"/>
        <v>0</v>
      </c>
      <c r="I74" s="219">
        <f t="shared" si="10"/>
        <v>0</v>
      </c>
      <c r="J74" s="219">
        <f t="shared" si="10"/>
        <v>0</v>
      </c>
      <c r="K74" s="219">
        <f t="shared" si="10"/>
        <v>0</v>
      </c>
      <c r="L74" s="220">
        <f t="shared" si="10"/>
        <v>0</v>
      </c>
    </row>
    <row r="75" spans="1:12" ht="19.5" customHeight="1">
      <c r="A75" s="702"/>
      <c r="B75" s="706" t="s">
        <v>170</v>
      </c>
      <c r="C75" s="706" t="s">
        <v>171</v>
      </c>
      <c r="D75" s="711"/>
      <c r="E75" s="164" t="s">
        <v>487</v>
      </c>
      <c r="F75" s="208" t="s">
        <v>67</v>
      </c>
      <c r="G75" s="141">
        <v>0</v>
      </c>
      <c r="H75" s="141">
        <v>0</v>
      </c>
      <c r="I75" s="141">
        <v>0</v>
      </c>
      <c r="J75" s="141">
        <v>0</v>
      </c>
      <c r="K75" s="141">
        <v>0</v>
      </c>
      <c r="L75" s="142">
        <v>0</v>
      </c>
    </row>
    <row r="76" spans="1:12" ht="15.75" customHeight="1">
      <c r="A76" s="702"/>
      <c r="B76" s="711"/>
      <c r="C76" s="706" t="s">
        <v>172</v>
      </c>
      <c r="D76" s="711"/>
      <c r="E76" s="164" t="s">
        <v>488</v>
      </c>
      <c r="F76" s="208" t="s">
        <v>67</v>
      </c>
      <c r="G76" s="141">
        <v>0</v>
      </c>
      <c r="H76" s="141">
        <v>0</v>
      </c>
      <c r="I76" s="141">
        <v>0</v>
      </c>
      <c r="J76" s="141">
        <v>0</v>
      </c>
      <c r="K76" s="141">
        <v>0</v>
      </c>
      <c r="L76" s="142">
        <v>0</v>
      </c>
    </row>
    <row r="77" spans="1:12" ht="27" customHeight="1" thickBot="1">
      <c r="A77" s="703"/>
      <c r="B77" s="708" t="s">
        <v>173</v>
      </c>
      <c r="C77" s="709"/>
      <c r="D77" s="709"/>
      <c r="E77" s="167" t="s">
        <v>489</v>
      </c>
      <c r="F77" s="223" t="s">
        <v>67</v>
      </c>
      <c r="G77" s="143">
        <v>0</v>
      </c>
      <c r="H77" s="143">
        <v>0</v>
      </c>
      <c r="I77" s="143">
        <v>0</v>
      </c>
      <c r="J77" s="143">
        <v>0</v>
      </c>
      <c r="K77" s="143">
        <v>0</v>
      </c>
      <c r="L77" s="144">
        <v>0</v>
      </c>
    </row>
  </sheetData>
  <sheetProtection password="CE88" sheet="1" objects="1" scenarios="1"/>
  <mergeCells count="88">
    <mergeCell ref="A1:L1"/>
    <mergeCell ref="A2:D4"/>
    <mergeCell ref="E2:E4"/>
    <mergeCell ref="F2:F4"/>
    <mergeCell ref="G2:G4"/>
    <mergeCell ref="H2:L2"/>
    <mergeCell ref="H3:H4"/>
    <mergeCell ref="I3:J3"/>
    <mergeCell ref="K3:L3"/>
    <mergeCell ref="A5:B7"/>
    <mergeCell ref="C5:D5"/>
    <mergeCell ref="C6:D6"/>
    <mergeCell ref="C7:D7"/>
    <mergeCell ref="A8:A21"/>
    <mergeCell ref="B8:D8"/>
    <mergeCell ref="B9:D9"/>
    <mergeCell ref="B10:D10"/>
    <mergeCell ref="B11:D11"/>
    <mergeCell ref="B12:D12"/>
    <mergeCell ref="B13:B16"/>
    <mergeCell ref="C29:C30"/>
    <mergeCell ref="C13:C14"/>
    <mergeCell ref="C15:C16"/>
    <mergeCell ref="B17:D17"/>
    <mergeCell ref="B18:D18"/>
    <mergeCell ref="B19:B20"/>
    <mergeCell ref="C19:D19"/>
    <mergeCell ref="C20:D20"/>
    <mergeCell ref="B35:D35"/>
    <mergeCell ref="B21:D21"/>
    <mergeCell ref="A22:A35"/>
    <mergeCell ref="B22:D22"/>
    <mergeCell ref="B23:D23"/>
    <mergeCell ref="B24:D24"/>
    <mergeCell ref="B25:D25"/>
    <mergeCell ref="B26:D26"/>
    <mergeCell ref="B27:B30"/>
    <mergeCell ref="C27:C28"/>
    <mergeCell ref="B31:D31"/>
    <mergeCell ref="B32:D32"/>
    <mergeCell ref="B33:B34"/>
    <mergeCell ref="C33:D33"/>
    <mergeCell ref="C34:D34"/>
    <mergeCell ref="A36:A49"/>
    <mergeCell ref="B36:D36"/>
    <mergeCell ref="B37:D37"/>
    <mergeCell ref="B38:D38"/>
    <mergeCell ref="B39:D39"/>
    <mergeCell ref="B40:D40"/>
    <mergeCell ref="B41:B44"/>
    <mergeCell ref="C41:C42"/>
    <mergeCell ref="C43:C44"/>
    <mergeCell ref="C55:C56"/>
    <mergeCell ref="C57:C58"/>
    <mergeCell ref="B45:D45"/>
    <mergeCell ref="B46:D46"/>
    <mergeCell ref="B47:B48"/>
    <mergeCell ref="C47:D47"/>
    <mergeCell ref="C48:D48"/>
    <mergeCell ref="B63:D63"/>
    <mergeCell ref="B66:D66"/>
    <mergeCell ref="B49:D49"/>
    <mergeCell ref="A50:A63"/>
    <mergeCell ref="B50:D50"/>
    <mergeCell ref="B51:D51"/>
    <mergeCell ref="B52:D52"/>
    <mergeCell ref="B53:D53"/>
    <mergeCell ref="B54:D54"/>
    <mergeCell ref="B55:B58"/>
    <mergeCell ref="C76:D76"/>
    <mergeCell ref="B69:B72"/>
    <mergeCell ref="C69:C70"/>
    <mergeCell ref="C71:C72"/>
    <mergeCell ref="B59:D59"/>
    <mergeCell ref="B60:D60"/>
    <mergeCell ref="B61:B62"/>
    <mergeCell ref="C61:D61"/>
    <mergeCell ref="C62:D62"/>
    <mergeCell ref="A64:A77"/>
    <mergeCell ref="B64:D64"/>
    <mergeCell ref="B67:D67"/>
    <mergeCell ref="B68:D68"/>
    <mergeCell ref="B77:D77"/>
    <mergeCell ref="B73:D73"/>
    <mergeCell ref="B74:D74"/>
    <mergeCell ref="B75:B76"/>
    <mergeCell ref="C75:D75"/>
    <mergeCell ref="B65:D65"/>
  </mergeCells>
  <printOptions/>
  <pageMargins left="0.75" right="0.75" top="0.36" bottom="0.3" header="0.19" footer="0.21"/>
  <pageSetup horizontalDpi="1200" verticalDpi="1200" orientation="landscape" paperSize="9" scale="98" r:id="rId1"/>
  <headerFooter alignWithMargins="0">
    <oddFooter>&amp;R17 -19</oddFooter>
  </headerFooter>
  <rowBreaks count="2" manualBreakCount="2">
    <brk id="31" max="255" man="1"/>
    <brk id="63" max="255" man="1"/>
  </rowBreaks>
</worksheet>
</file>

<file path=xl/worksheets/sheet16.xml><?xml version="1.0" encoding="utf-8"?>
<worksheet xmlns="http://schemas.openxmlformats.org/spreadsheetml/2006/main" xmlns:r="http://schemas.openxmlformats.org/officeDocument/2006/relationships">
  <dimension ref="A1:V55"/>
  <sheetViews>
    <sheetView zoomScalePageLayoutView="0" workbookViewId="0" topLeftCell="A1">
      <selection activeCell="H55" sqref="H55"/>
    </sheetView>
  </sheetViews>
  <sheetFormatPr defaultColWidth="9.140625" defaultRowHeight="12.75"/>
  <cols>
    <col min="1" max="1" width="8.7109375" style="0" customWidth="1"/>
    <col min="2" max="2" width="12.00390625" style="0" customWidth="1"/>
    <col min="3" max="3" width="10.421875" style="0" customWidth="1"/>
    <col min="4" max="4" width="9.7109375" style="0" customWidth="1"/>
    <col min="5" max="5" width="11.57421875" style="0" customWidth="1"/>
    <col min="6" max="6" width="8.8515625" style="99" customWidth="1"/>
    <col min="7" max="7" width="12.140625" style="0" customWidth="1"/>
    <col min="8" max="8" width="11.140625" style="0" customWidth="1"/>
    <col min="9" max="9" width="9.8515625" style="0" customWidth="1"/>
    <col min="10" max="12" width="10.00390625" style="0" customWidth="1"/>
    <col min="13" max="13" width="10.140625" style="0" customWidth="1"/>
  </cols>
  <sheetData>
    <row r="1" spans="1:13" ht="21" customHeight="1" thickBot="1">
      <c r="A1" s="684" t="s">
        <v>230</v>
      </c>
      <c r="B1" s="685"/>
      <c r="C1" s="685"/>
      <c r="D1" s="685"/>
      <c r="E1" s="685"/>
      <c r="F1" s="685"/>
      <c r="G1" s="685"/>
      <c r="H1" s="685"/>
      <c r="I1" s="685"/>
      <c r="J1" s="685"/>
      <c r="K1" s="685"/>
      <c r="L1" s="685"/>
      <c r="M1" s="685"/>
    </row>
    <row r="2" spans="1:13" ht="12.75" customHeight="1">
      <c r="A2" s="649" t="s">
        <v>124</v>
      </c>
      <c r="B2" s="641"/>
      <c r="C2" s="641"/>
      <c r="D2" s="650"/>
      <c r="E2" s="650"/>
      <c r="F2" s="646" t="s">
        <v>60</v>
      </c>
      <c r="G2" s="641" t="s">
        <v>61</v>
      </c>
      <c r="H2" s="641" t="s">
        <v>125</v>
      </c>
      <c r="I2" s="641" t="s">
        <v>126</v>
      </c>
      <c r="J2" s="641"/>
      <c r="K2" s="641"/>
      <c r="L2" s="641"/>
      <c r="M2" s="642"/>
    </row>
    <row r="3" spans="1:13" ht="25.5" customHeight="1">
      <c r="A3" s="651"/>
      <c r="B3" s="652"/>
      <c r="C3" s="652"/>
      <c r="D3" s="653"/>
      <c r="E3" s="653"/>
      <c r="F3" s="647"/>
      <c r="G3" s="643"/>
      <c r="H3" s="643"/>
      <c r="I3" s="643" t="s">
        <v>127</v>
      </c>
      <c r="J3" s="643" t="s">
        <v>128</v>
      </c>
      <c r="K3" s="643"/>
      <c r="L3" s="643" t="s">
        <v>129</v>
      </c>
      <c r="M3" s="645"/>
    </row>
    <row r="4" spans="1:13" ht="42" customHeight="1" thickBot="1">
      <c r="A4" s="654"/>
      <c r="B4" s="655"/>
      <c r="C4" s="655"/>
      <c r="D4" s="656"/>
      <c r="E4" s="656"/>
      <c r="F4" s="648"/>
      <c r="G4" s="644"/>
      <c r="H4" s="644"/>
      <c r="I4" s="644"/>
      <c r="J4" s="80" t="s">
        <v>130</v>
      </c>
      <c r="K4" s="80" t="s">
        <v>131</v>
      </c>
      <c r="L4" s="80" t="s">
        <v>130</v>
      </c>
      <c r="M4" s="81" t="s">
        <v>131</v>
      </c>
    </row>
    <row r="5" spans="1:13" ht="25.5" customHeight="1">
      <c r="A5" s="753" t="s">
        <v>192</v>
      </c>
      <c r="B5" s="460" t="s">
        <v>133</v>
      </c>
      <c r="C5" s="682"/>
      <c r="D5" s="682"/>
      <c r="E5" s="682"/>
      <c r="F5" s="98">
        <v>271</v>
      </c>
      <c r="G5" s="71" t="s">
        <v>144</v>
      </c>
      <c r="H5" s="121">
        <f aca="true" t="shared" si="0" ref="H5:M5">H15+H32+H38+H43+H48+H53</f>
        <v>1</v>
      </c>
      <c r="I5" s="121">
        <f t="shared" si="0"/>
        <v>0</v>
      </c>
      <c r="J5" s="121">
        <f t="shared" si="0"/>
        <v>0</v>
      </c>
      <c r="K5" s="121">
        <f t="shared" si="0"/>
        <v>0</v>
      </c>
      <c r="L5" s="121">
        <f t="shared" si="0"/>
        <v>0</v>
      </c>
      <c r="M5" s="131">
        <f t="shared" si="0"/>
        <v>0</v>
      </c>
    </row>
    <row r="6" spans="1:13" ht="12.75" customHeight="1">
      <c r="A6" s="637"/>
      <c r="B6" s="462" t="s">
        <v>136</v>
      </c>
      <c r="C6" s="468"/>
      <c r="D6" s="468"/>
      <c r="E6" s="468"/>
      <c r="F6" s="92">
        <v>272</v>
      </c>
      <c r="G6" s="63" t="s">
        <v>67</v>
      </c>
      <c r="H6" s="141">
        <v>2</v>
      </c>
      <c r="I6" s="62" t="s">
        <v>145</v>
      </c>
      <c r="J6" s="62" t="s">
        <v>145</v>
      </c>
      <c r="K6" s="62" t="s">
        <v>145</v>
      </c>
      <c r="L6" s="62" t="s">
        <v>145</v>
      </c>
      <c r="M6" s="67" t="s">
        <v>145</v>
      </c>
    </row>
    <row r="7" spans="1:15" ht="12.75" customHeight="1">
      <c r="A7" s="637"/>
      <c r="B7" s="462" t="s">
        <v>137</v>
      </c>
      <c r="C7" s="468"/>
      <c r="D7" s="468"/>
      <c r="E7" s="468"/>
      <c r="F7" s="96" t="s">
        <v>816</v>
      </c>
      <c r="G7" s="63" t="s">
        <v>67</v>
      </c>
      <c r="H7" s="141">
        <v>1</v>
      </c>
      <c r="I7" s="62" t="s">
        <v>145</v>
      </c>
      <c r="J7" s="62" t="s">
        <v>145</v>
      </c>
      <c r="K7" s="62" t="s">
        <v>145</v>
      </c>
      <c r="L7" s="62" t="s">
        <v>145</v>
      </c>
      <c r="M7" s="67" t="s">
        <v>145</v>
      </c>
      <c r="N7" s="130" t="str">
        <f>IF(H7&lt;=H6,"OK","Sociālā darba speciālistu skaits pārsniedz  kopējo darbinieku skaitu!")</f>
        <v>OK</v>
      </c>
      <c r="O7" t="str">
        <f>IF(AND(SUM(H5:M5)&gt;0,OR(SUM(H16:M16)&gt;0,SUM(H23:M23)&gt;0,SUM(H28:M28)&gt;0,SUM(H33:M33)&gt;0,SUM(H39:M39)&gt;0,SUM(H44:M44)&gt;0,SUM(H49:M49)&gt;0,SUM(H54:M54)&gt;0)),"OK",IF(SUM(H5:M55)=0,"OK","Pārbaudi naudu, cilvēku vai institūciju skaitu"))</f>
        <v>OK</v>
      </c>
    </row>
    <row r="8" spans="1:18" ht="12.75" customHeight="1">
      <c r="A8" s="637"/>
      <c r="B8" s="462" t="s">
        <v>138</v>
      </c>
      <c r="C8" s="468"/>
      <c r="D8" s="468"/>
      <c r="E8" s="468"/>
      <c r="F8" s="92">
        <v>273</v>
      </c>
      <c r="G8" s="241" t="s">
        <v>931</v>
      </c>
      <c r="H8" s="119">
        <f aca="true" t="shared" si="1" ref="H8:M8">H16+H33+H39+H44+H49+H54</f>
        <v>36140</v>
      </c>
      <c r="I8" s="119">
        <f t="shared" si="1"/>
        <v>0</v>
      </c>
      <c r="J8" s="119">
        <f t="shared" si="1"/>
        <v>0</v>
      </c>
      <c r="K8" s="119">
        <f t="shared" si="1"/>
        <v>0</v>
      </c>
      <c r="L8" s="119">
        <f t="shared" si="1"/>
        <v>0</v>
      </c>
      <c r="M8" s="125">
        <f t="shared" si="1"/>
        <v>0</v>
      </c>
      <c r="R8" s="196" t="str">
        <f>IF(H5=H15+H32+H38+H43+H48+H53,IF(H9&gt;=H14,IF(H9=H10+H11+H12+H13,IF(H10+H11+H12+H13&lt;=H18+H19+H20+H21+H34+H40+H45+H50+H55,IF(H9&lt;=H17+H34+H40+H45+H50+H55,IF(H18+H19=H24,IF(H8=H16+H33+H39+H44+H49+H54,"OK","pārbaudi tabulā 2.7 H8, H16, H33, H44, H49, H54"),"pārbaudi tabulā 2.7 H18, H29, H24"),"Pārbaudi tabulā 2.7 H9, H17, H34, H40, H45, H50, H55"),"Pārbaudi tabulā 2.7 H10, H11, H12, H13, H18, H19, H20, H21, H34, H40, H45, H50, H55"),"Pārbaudi tabulā 2.7 H9, H10, H11, H12, H13"),"Pārbaudi tabulā 2.7 H9, H14"),"Pārbaudi tabulā 2.7 H5, H15, H32, H38, H43, H48, H53")</f>
        <v>OK</v>
      </c>
    </row>
    <row r="9" spans="1:18" ht="12.75" customHeight="1">
      <c r="A9" s="637"/>
      <c r="B9" s="462" t="s">
        <v>139</v>
      </c>
      <c r="C9" s="468"/>
      <c r="D9" s="468"/>
      <c r="E9" s="468"/>
      <c r="F9" s="92">
        <v>274</v>
      </c>
      <c r="G9" s="63" t="s">
        <v>67</v>
      </c>
      <c r="H9" s="119">
        <f aca="true" t="shared" si="2" ref="H9:M9">H10+H11+H12+H13</f>
        <v>97</v>
      </c>
      <c r="I9" s="119">
        <f t="shared" si="2"/>
        <v>0</v>
      </c>
      <c r="J9" s="119">
        <f t="shared" si="2"/>
        <v>0</v>
      </c>
      <c r="K9" s="119">
        <f t="shared" si="2"/>
        <v>0</v>
      </c>
      <c r="L9" s="119">
        <f t="shared" si="2"/>
        <v>0</v>
      </c>
      <c r="M9" s="125">
        <f t="shared" si="2"/>
        <v>0</v>
      </c>
      <c r="N9" s="130" t="str">
        <f>IF(AND(H9&gt;=SUM(H17,H34,H40,H45,H50,H55),I9&gt;=SUM(I17,I34,I40,I45,I50,I55),J9&gt;=SUM(J17,J34,J40,J45,J50,J55),K9&gt;=SUM(K17,K34,K40,K45,K50,K55),L9&gt;=SUM(L17,L34,L40,L45,L50,L55),M9&gt;=SUM(M17,M34,M40,M45,M50,M55)),"OK","Pārbaudiet visu kategoriju pakalpojumu saņēmušo klientu skaitu, tas pārsniedz kopējo pakalpojumus saņēmušo klientu skaitu!")</f>
        <v>OK</v>
      </c>
      <c r="O9" s="126"/>
      <c r="R9" s="196" t="str">
        <f>IF(I5=I15+I32+I38+I43+I48+I53,IF(I9&gt;=I14,IF(I9=I10+I11+I12+I13,IF(I10+I11+I12+I13&lt;=I18+I19+I20+I21+I34+I40+I45+I50+I55,IF(I9&lt;=I17+I34+I40+I45+I50+I55,IF(I18+I19=I24,IF(I8=I16+I33+I39+I44+I49+I54,"OK","pārbaudi tabulā 2.7 I8, I16, I33, I44, I49, I54"),"pārbaudi tabulā 2.7 I18, I29, I24"),"Pārbaudi tabulā 2.7 I9, I17, I34, I40, I45, I50, I55"),"Pārbaudi tabulā 2.7 I10, I11, I12, I13, I18, I19, I20, I21, I34, I40, I45, I50, I55"),"Pārbaudi tabulā 2.7 I9, I10, I11, I12, I13"),"Pārbaudi tabulā 2.7 I9, I14"),"Pārbaudi tabulā 2.7 I5, I15, I32, I38, I43, I48, I53")</f>
        <v>OK</v>
      </c>
    </row>
    <row r="10" spans="1:18" ht="12" customHeight="1">
      <c r="A10" s="637"/>
      <c r="B10" s="475" t="s">
        <v>74</v>
      </c>
      <c r="C10" s="466" t="s">
        <v>140</v>
      </c>
      <c r="D10" s="462" t="s">
        <v>142</v>
      </c>
      <c r="E10" s="462"/>
      <c r="F10" s="95" t="s">
        <v>490</v>
      </c>
      <c r="G10" s="63" t="s">
        <v>67</v>
      </c>
      <c r="H10" s="141">
        <v>19</v>
      </c>
      <c r="I10" s="141">
        <v>0</v>
      </c>
      <c r="J10" s="141">
        <v>0</v>
      </c>
      <c r="K10" s="141">
        <v>0</v>
      </c>
      <c r="L10" s="141">
        <v>0</v>
      </c>
      <c r="M10" s="142">
        <v>0</v>
      </c>
      <c r="R10" s="196" t="str">
        <f>IF(J5=J15+J32+J38+J43+J48+J53,IF(J9&gt;=J14,IF(J9=J10+J11+J12+J13,IF(J10+J11+J12+J13&lt;=J18+J19+J20+J21+J34+J40+J45+J50+J55,IF(J9&lt;=J17+J34+J40+J45+J50+J55,IF(J18+J19=J24,IF(J8=J16+J33+J39+J44+J49+J54,"OK","pārbaudi tabulā 2.7 J8, J16, J33, J44, J49, J54"),"pārbaudi tabulā 2.7 J18, J29, J24"),"Pārbaudi tabulā 2.7 J9, J17, J34, J40, J45, J50, J55"),"Pārbaudi tabulā 2.7 J10, J11, J12, J13, J18, J19, J20, J21, J34, J40, J45, J50, J55"),"Pārbaudi tabulā 2.7 J9, J10, J11, J12, J13"),"Pārbaudi tabulā 2.7 J9, J14"),"Pārbaudi tabulā 2.7 J5, J15, J32, J38, J43, J48, J53")</f>
        <v>OK</v>
      </c>
    </row>
    <row r="11" spans="1:18" ht="12" customHeight="1">
      <c r="A11" s="637"/>
      <c r="B11" s="475"/>
      <c r="C11" s="466"/>
      <c r="D11" s="462" t="s">
        <v>143</v>
      </c>
      <c r="E11" s="462"/>
      <c r="F11" s="95" t="s">
        <v>491</v>
      </c>
      <c r="G11" s="63" t="s">
        <v>67</v>
      </c>
      <c r="H11" s="141">
        <v>18</v>
      </c>
      <c r="I11" s="141">
        <v>0</v>
      </c>
      <c r="J11" s="141">
        <v>0</v>
      </c>
      <c r="K11" s="141">
        <v>0</v>
      </c>
      <c r="L11" s="141">
        <v>0</v>
      </c>
      <c r="M11" s="142">
        <v>0</v>
      </c>
      <c r="R11" s="196" t="str">
        <f>IF(K5=K15+K32+K38+K43+K48+K53,IF(K9&gt;=K14,IF(K9=K10+K11+K12+K13,IF(K10+K11+K12+K13&lt;=K18+K19+K20+K21+K34+K40+K45+K50+K55,IF(K9&lt;=K17+K34+K40+K45+K50+K55,IF(K18+K19=K24,IF(K8=K16+K33+K39+K44+K49+K54,"OK","pārbaudi tabulā 2.7 K8, K16, K33, K44, K49, K54"),"pārbaudi tabulā 2.7 K18, K29, K24"),"Pārbaudi tabulā 2.7 K9, K17, K34, K40, K45, K50, K55"),"Pārbaudi tabulā 2.7 K10, K11, K12, K13, K18, K19, K20, K21, K34, K40, K45, K50, K55"),"Pārbaudi tabulā 2.7 K9, K10, K11, K12, K13"),"Pārbaudi tabulā 2.7 K9, K14"),"Pārbaudi tabulā 2.7 K5, K15, K32, K38, K43, K48, K53")</f>
        <v>OK</v>
      </c>
    </row>
    <row r="12" spans="1:22" ht="12.75" customHeight="1">
      <c r="A12" s="637"/>
      <c r="B12" s="475"/>
      <c r="C12" s="466" t="s">
        <v>141</v>
      </c>
      <c r="D12" s="462" t="s">
        <v>142</v>
      </c>
      <c r="E12" s="462"/>
      <c r="F12" s="95" t="s">
        <v>492</v>
      </c>
      <c r="G12" s="63" t="s">
        <v>67</v>
      </c>
      <c r="H12" s="141">
        <v>17</v>
      </c>
      <c r="I12" s="141">
        <v>0</v>
      </c>
      <c r="J12" s="141">
        <v>0</v>
      </c>
      <c r="K12" s="141">
        <v>0</v>
      </c>
      <c r="L12" s="141">
        <v>0</v>
      </c>
      <c r="M12" s="142">
        <v>0</v>
      </c>
      <c r="O12" s="196"/>
      <c r="R12" s="196" t="str">
        <f>IF(L5=L15+L32+L38+L43+L48+L53,IF(L9&gt;=L14,IF(L9=L10+L11+L12+L13,IF(L10+L11+L12+L13&lt;=L18+L19+L20+L21+L34+L40+L45+L50+L55,IF(L9&lt;=L17+L34+L40+L45+L50+L55,IF(L18+L19=L24,IF(L8=L16+L33+L39+L44+L49+L54,"OK","pārbaudi tabulā 2.7 L8, L16, L33, L44, L49, L54"),"pārbaudi tabulā 2.7 L18, L29, L24"),"Pārbaudi tabulā 2.7 L9, L17, L34, L40, L45, L50, L55"),"Pārbaudi tabulā 2.7 L10, L11, L12, L13, L18, L19, L20, L21, L34, L40, L45, L50, L55"),"Pārbaudi tabulā 2.7 L9, L10, L11, L12, L13"),"Pārbaudi tabulā 2.7 L9, L14"),"Pārbaudi tabulā 2.7 L5, L15, L32, L38, L43, L48, L53")</f>
        <v>OK</v>
      </c>
      <c r="V12" s="196"/>
    </row>
    <row r="13" spans="1:18" ht="12.75" customHeight="1">
      <c r="A13" s="637"/>
      <c r="B13" s="475"/>
      <c r="C13" s="466"/>
      <c r="D13" s="462" t="s">
        <v>143</v>
      </c>
      <c r="E13" s="462"/>
      <c r="F13" s="95" t="s">
        <v>493</v>
      </c>
      <c r="G13" s="63" t="s">
        <v>67</v>
      </c>
      <c r="H13" s="141">
        <v>43</v>
      </c>
      <c r="I13" s="141">
        <v>0</v>
      </c>
      <c r="J13" s="141">
        <v>0</v>
      </c>
      <c r="K13" s="141">
        <v>0</v>
      </c>
      <c r="L13" s="141">
        <v>0</v>
      </c>
      <c r="M13" s="142">
        <v>0</v>
      </c>
      <c r="R13" s="196" t="str">
        <f>IF(M5=M15+M32+M38+M43+M48+M53,IF(M9&gt;=M14,IF(M9=M10+M11+M12+M13,IF(M10+M11+M12+M13&lt;=M18+M19+M20+M21+M34+M40+M45+M50+M55,IF(M9&lt;=M17+M34+M40+M45+M50+M55,IF(M18+M19=M24,IF(M8=M16+M33+M39+M44+M49+M54,"OK","pārbaudi tabulā 2.7 M8, M16, M33, M44, M49, M54"),"pārbaudi tabulā 2.7 M18, M29, M24"),"Pārbaudi tabulā 2.7 M9, M17, M34, M40, M45, M50, M55"),"Pārbaudi tabulā 2.7 M10, M11, M12, M13, M18, M19, M20, M21, M34, M40, M45, M50, M55"),"Pārbaudi tabulā 2.7 M 9, M10, M11, M12, M13"),"Pārbaudi tabulā 2.7 M9, M14"),"Pārbaudi tabulā 2.7 M5, M15, M32, M38, M43, M48, M53")</f>
        <v>OK</v>
      </c>
    </row>
    <row r="14" spans="1:14" ht="26.25" customHeight="1">
      <c r="A14" s="754"/>
      <c r="B14" s="696" t="s">
        <v>152</v>
      </c>
      <c r="C14" s="749"/>
      <c r="D14" s="749"/>
      <c r="E14" s="749"/>
      <c r="F14" s="114" t="s">
        <v>817</v>
      </c>
      <c r="G14" s="77" t="s">
        <v>67</v>
      </c>
      <c r="H14" s="147">
        <v>97</v>
      </c>
      <c r="I14" s="147">
        <v>0</v>
      </c>
      <c r="J14" s="147">
        <v>0</v>
      </c>
      <c r="K14" s="147">
        <v>0</v>
      </c>
      <c r="L14" s="147">
        <v>0</v>
      </c>
      <c r="M14" s="201">
        <v>0</v>
      </c>
      <c r="N14" s="130" t="str">
        <f>IF(H14&lt;=H9,"OK","Klientu skaits, kuriem pakalpojumu pilnībā vai daļēji apmaksā pašvaldība, ir lielāks kā kopējais pakalpojumus saņēmušo klientu skaits!")</f>
        <v>OK</v>
      </c>
    </row>
    <row r="15" spans="1:13" ht="25.5" customHeight="1">
      <c r="A15" s="759" t="s">
        <v>74</v>
      </c>
      <c r="B15" s="466" t="s">
        <v>209</v>
      </c>
      <c r="C15" s="462" t="s">
        <v>133</v>
      </c>
      <c r="D15" s="462"/>
      <c r="E15" s="462"/>
      <c r="F15" s="111" t="s">
        <v>501</v>
      </c>
      <c r="G15" s="63" t="s">
        <v>144</v>
      </c>
      <c r="H15" s="119">
        <f aca="true" t="shared" si="3" ref="H15:M16">H22+H27</f>
        <v>0</v>
      </c>
      <c r="I15" s="119">
        <f t="shared" si="3"/>
        <v>0</v>
      </c>
      <c r="J15" s="119">
        <f t="shared" si="3"/>
        <v>0</v>
      </c>
      <c r="K15" s="119">
        <f t="shared" si="3"/>
        <v>0</v>
      </c>
      <c r="L15" s="119">
        <f t="shared" si="3"/>
        <v>0</v>
      </c>
      <c r="M15" s="125">
        <f t="shared" si="3"/>
        <v>0</v>
      </c>
    </row>
    <row r="16" spans="1:13" ht="16.5" customHeight="1">
      <c r="A16" s="627"/>
      <c r="B16" s="475"/>
      <c r="C16" s="462" t="s">
        <v>138</v>
      </c>
      <c r="D16" s="462"/>
      <c r="E16" s="462"/>
      <c r="F16" s="111" t="s">
        <v>504</v>
      </c>
      <c r="G16" s="242" t="s">
        <v>931</v>
      </c>
      <c r="H16" s="119">
        <f t="shared" si="3"/>
        <v>0</v>
      </c>
      <c r="I16" s="119">
        <f t="shared" si="3"/>
        <v>0</v>
      </c>
      <c r="J16" s="119">
        <f t="shared" si="3"/>
        <v>0</v>
      </c>
      <c r="K16" s="119">
        <f t="shared" si="3"/>
        <v>0</v>
      </c>
      <c r="L16" s="119">
        <f t="shared" si="3"/>
        <v>0</v>
      </c>
      <c r="M16" s="125">
        <f t="shared" si="3"/>
        <v>0</v>
      </c>
    </row>
    <row r="17" spans="1:13" ht="12.75" customHeight="1">
      <c r="A17" s="627"/>
      <c r="B17" s="475"/>
      <c r="C17" s="462" t="s">
        <v>162</v>
      </c>
      <c r="D17" s="462"/>
      <c r="E17" s="462"/>
      <c r="F17" s="111" t="s">
        <v>505</v>
      </c>
      <c r="G17" s="63" t="s">
        <v>67</v>
      </c>
      <c r="H17" s="119">
        <f aca="true" t="shared" si="4" ref="H17:M17">H18+H19+H20+H21</f>
        <v>0</v>
      </c>
      <c r="I17" s="119">
        <f t="shared" si="4"/>
        <v>0</v>
      </c>
      <c r="J17" s="119">
        <f t="shared" si="4"/>
        <v>0</v>
      </c>
      <c r="K17" s="119">
        <f t="shared" si="4"/>
        <v>0</v>
      </c>
      <c r="L17" s="119">
        <f t="shared" si="4"/>
        <v>0</v>
      </c>
      <c r="M17" s="125">
        <f t="shared" si="4"/>
        <v>0</v>
      </c>
    </row>
    <row r="18" spans="1:13" ht="12.75" customHeight="1">
      <c r="A18" s="627"/>
      <c r="B18" s="475"/>
      <c r="C18" s="475" t="s">
        <v>74</v>
      </c>
      <c r="D18" s="475" t="s">
        <v>140</v>
      </c>
      <c r="E18" s="54" t="s">
        <v>142</v>
      </c>
      <c r="F18" s="95" t="s">
        <v>506</v>
      </c>
      <c r="G18" s="63" t="s">
        <v>67</v>
      </c>
      <c r="H18" s="141">
        <v>0</v>
      </c>
      <c r="I18" s="141">
        <v>0</v>
      </c>
      <c r="J18" s="141">
        <v>0</v>
      </c>
      <c r="K18" s="141">
        <v>0</v>
      </c>
      <c r="L18" s="141">
        <v>0</v>
      </c>
      <c r="M18" s="142">
        <v>0</v>
      </c>
    </row>
    <row r="19" spans="1:15" ht="12.75" customHeight="1">
      <c r="A19" s="627"/>
      <c r="B19" s="475"/>
      <c r="C19" s="475"/>
      <c r="D19" s="475"/>
      <c r="E19" s="61" t="s">
        <v>143</v>
      </c>
      <c r="F19" s="95" t="s">
        <v>507</v>
      </c>
      <c r="G19" s="63" t="s">
        <v>67</v>
      </c>
      <c r="H19" s="141">
        <v>0</v>
      </c>
      <c r="I19" s="141">
        <v>0</v>
      </c>
      <c r="J19" s="141">
        <v>0</v>
      </c>
      <c r="K19" s="141">
        <v>0</v>
      </c>
      <c r="L19" s="141">
        <v>0</v>
      </c>
      <c r="M19" s="142">
        <v>0</v>
      </c>
      <c r="O19" t="str">
        <f>IF(H9=H10+H11+H12+H13,IF(H9&lt;=H17+H34+H40+H50+H55,IF(H17=H18+H19+H20+H21,IF(H18+H19&gt;=H24,IF(H20+H21&gt;=H29,"OK","Pārbaudi tabulā 2.7 H20, H21, H29"),"Pārbaudi tabulā 2.7 H18, H19, H24"),"Pārbaudi tabulā 2.7 H17, H18, H19, H20, H21"),"Pārbaudi tabulā 2.7 H9, H17, H34, H40, H50, H55"),"Pārbaudi tabulā 2.7 H9, H10, H11, H12, H13")</f>
        <v>OK</v>
      </c>
    </row>
    <row r="20" spans="1:15" ht="12.75" customHeight="1">
      <c r="A20" s="627"/>
      <c r="B20" s="475"/>
      <c r="C20" s="475"/>
      <c r="D20" s="482" t="s">
        <v>141</v>
      </c>
      <c r="E20" s="192" t="s">
        <v>142</v>
      </c>
      <c r="F20" s="193" t="s">
        <v>508</v>
      </c>
      <c r="G20" s="194" t="s">
        <v>67</v>
      </c>
      <c r="H20" s="195">
        <v>0</v>
      </c>
      <c r="I20" s="195">
        <v>0</v>
      </c>
      <c r="J20" s="195">
        <v>0</v>
      </c>
      <c r="K20" s="195">
        <v>0</v>
      </c>
      <c r="L20" s="195">
        <v>0</v>
      </c>
      <c r="M20" s="202">
        <v>0</v>
      </c>
      <c r="N20" s="196"/>
      <c r="O20" t="str">
        <f>IF(I9=I10+I11+I12+I13,IF(I9&lt;=I17+I34+I40+I50+I55,IF(I17=I18+I19+I20+I21,IF(I18+I19&gt;=I24,IF(I20+I21&gt;=I29,"OK","Pārbaudi tabulā 2.7 I20, I21, I29"),"Pārbaudi tabulā 2.7 I18, I19, I24"),"Pārbaudi tabulā 2.7 I17, I18, I19, I20, I21"),"Pārbaudi tabulā 2.7 I9, I17, I34, I40, I50, I55"),"Pārbaudi tabulā 2.7 I9, I10, I11, I12, I13")</f>
        <v>OK</v>
      </c>
    </row>
    <row r="21" spans="1:15" ht="32.25" customHeight="1">
      <c r="A21" s="627"/>
      <c r="B21" s="475"/>
      <c r="C21" s="475"/>
      <c r="D21" s="482"/>
      <c r="E21" s="197" t="s">
        <v>143</v>
      </c>
      <c r="F21" s="193" t="s">
        <v>509</v>
      </c>
      <c r="G21" s="194" t="s">
        <v>67</v>
      </c>
      <c r="H21" s="195">
        <v>0</v>
      </c>
      <c r="I21" s="195">
        <v>0</v>
      </c>
      <c r="J21" s="195">
        <v>0</v>
      </c>
      <c r="K21" s="195">
        <v>0</v>
      </c>
      <c r="L21" s="195">
        <v>0</v>
      </c>
      <c r="M21" s="202">
        <v>0</v>
      </c>
      <c r="N21" s="196"/>
      <c r="O21" t="str">
        <f>IF(J9=J10+J11+J12+J13,IF(J9&lt;=J17+J34+J40+J50+J55,IF(J17=J18+J19+J20+J21,IF(J18+J19&gt;=J24,IF(J20+J21&gt;=J29,"OK","Pārbaudi tabulā 2.7 J20, J21, J29"),"Pārbaudi tabulā 2.7 J18, J19, J24"),"Pārbaudi tabulā 2.7 J17, J18, J19, J20, J21"),"Pārbaudi tabulā 2.7 J9, J17, J34, J40, J50, J55"),"Pārbaudi tabulā 2.7 J9, J10, J11, J12, J13")</f>
        <v>OK</v>
      </c>
    </row>
    <row r="22" spans="1:15" ht="39.75" customHeight="1">
      <c r="A22" s="689"/>
      <c r="B22" s="658" t="s">
        <v>74</v>
      </c>
      <c r="C22" s="757" t="s">
        <v>193</v>
      </c>
      <c r="D22" s="462" t="s">
        <v>133</v>
      </c>
      <c r="E22" s="468"/>
      <c r="F22" s="96" t="s">
        <v>502</v>
      </c>
      <c r="G22" s="63" t="s">
        <v>144</v>
      </c>
      <c r="H22" s="141">
        <v>0</v>
      </c>
      <c r="I22" s="141">
        <v>0</v>
      </c>
      <c r="J22" s="141">
        <v>0</v>
      </c>
      <c r="K22" s="141">
        <v>0</v>
      </c>
      <c r="L22" s="141">
        <v>0</v>
      </c>
      <c r="M22" s="142">
        <v>0</v>
      </c>
      <c r="O22" t="str">
        <f>IF(K9=K10+K11+K12+K13,IF(K9&lt;=K17+K34+K40+K50+K55,IF(K17=K18+K19+K20+K21,IF(K18+K19&gt;=K24,IF(K20+K21&gt;=K29,"OK","Pārbaudi tabulā 2.7 K20, K21, K29"),"Pārbaudi tabulā 2.7 K18, K19, K24"),"Pārbaudi tabulā 2.7 K17, K18, K19, K20, K21"),"Pārbaudi tabulā 2.7 K9, K17, K34, K40, K50, K55"),"Pārbaudi tabulā 2.7 K9, K10, K11, K12, K13")</f>
        <v>OK</v>
      </c>
    </row>
    <row r="23" spans="1:15" ht="12.75">
      <c r="A23" s="689"/>
      <c r="B23" s="659"/>
      <c r="C23" s="632"/>
      <c r="D23" s="462" t="s">
        <v>138</v>
      </c>
      <c r="E23" s="468"/>
      <c r="F23" s="96" t="s">
        <v>503</v>
      </c>
      <c r="G23" s="242" t="s">
        <v>931</v>
      </c>
      <c r="H23" s="141">
        <v>0</v>
      </c>
      <c r="I23" s="141">
        <v>0</v>
      </c>
      <c r="J23" s="141">
        <v>0</v>
      </c>
      <c r="K23" s="141">
        <v>0</v>
      </c>
      <c r="L23" s="141">
        <v>0</v>
      </c>
      <c r="M23" s="142">
        <v>0</v>
      </c>
      <c r="O23" t="str">
        <f>IF(L9=L10+L11+L12+L13,IF(L9&lt;=L17+L34+L40+L50+L55,IF(L17=L18+L19+L20+L21,IF(L18+L19&gt;=L24,IF(L20+L21&gt;=L29,"OK","Pārbaudi tabulā 2.7 L20, L21, L29"),"Pārbaudi tabulā 2.7 L18, L19, L24"),"Pārbaudi tabulā 2.7 L17, L18, L19, L20, L21"),"Pārbaudi tabulā 2.7 L9, L17, L34, L40, L50, L55"),"Pārbaudi tabulā 2.7 L9, L10, L11, L12, L13")</f>
        <v>OK</v>
      </c>
    </row>
    <row r="24" spans="1:15" ht="23.25" customHeight="1">
      <c r="A24" s="689"/>
      <c r="B24" s="659"/>
      <c r="C24" s="632"/>
      <c r="D24" s="462" t="s">
        <v>196</v>
      </c>
      <c r="E24" s="468"/>
      <c r="F24" s="96" t="s">
        <v>510</v>
      </c>
      <c r="G24" s="63" t="s">
        <v>67</v>
      </c>
      <c r="H24" s="141">
        <v>0</v>
      </c>
      <c r="I24" s="141">
        <v>0</v>
      </c>
      <c r="J24" s="141">
        <v>0</v>
      </c>
      <c r="K24" s="141">
        <v>0</v>
      </c>
      <c r="L24" s="141">
        <v>0</v>
      </c>
      <c r="M24" s="142">
        <v>0</v>
      </c>
      <c r="N24" s="130" t="str">
        <f>IF(AND((H24=H18+H19),(I24=I18+I19),(J24=J18+J19),(K24=K18+K19),(L24=L18+L19),(M24=M18+M19)),"OK","Pārbaudiet klientu sadalījumu pa dzimumiem")</f>
        <v>OK</v>
      </c>
      <c r="O24" t="str">
        <f>IF(M9=M10+M11+M12+M13,IF(M9&lt;=M17+M34+M40+M50+M55,IF(M17=M18+M19+M20+M21,IF(M18+M19&gt;=M24,IF(M20+M21&gt;=M29,"OK","Pārbaudi tabulā 2.7 M20, M21, M29"),"Pārbaudi tabulā 2.7 M18, M19, M24"),"Pārbaudi tabulā 2.7 M17, M18, M19, M20, M21"),"Pārbaudi tabulā 2.7 M9, M17, M34, M40, M50, M55"),"Pārbaudi tabulā 2.7 M9, M10, M11, M12, M13")</f>
        <v>OK</v>
      </c>
    </row>
    <row r="25" spans="1:13" ht="24" customHeight="1">
      <c r="A25" s="689"/>
      <c r="B25" s="659"/>
      <c r="C25" s="632"/>
      <c r="D25" s="462" t="s">
        <v>194</v>
      </c>
      <c r="E25" s="468"/>
      <c r="F25" s="96" t="s">
        <v>511</v>
      </c>
      <c r="G25" s="63" t="s">
        <v>67</v>
      </c>
      <c r="H25" s="141">
        <v>0</v>
      </c>
      <c r="I25" s="141">
        <v>0</v>
      </c>
      <c r="J25" s="141">
        <v>0</v>
      </c>
      <c r="K25" s="141">
        <v>0</v>
      </c>
      <c r="L25" s="141">
        <v>0</v>
      </c>
      <c r="M25" s="142">
        <v>0</v>
      </c>
    </row>
    <row r="26" spans="1:13" ht="48" customHeight="1">
      <c r="A26" s="689"/>
      <c r="B26" s="659"/>
      <c r="C26" s="758"/>
      <c r="D26" s="462" t="s">
        <v>173</v>
      </c>
      <c r="E26" s="468"/>
      <c r="F26" s="96" t="s">
        <v>512</v>
      </c>
      <c r="G26" s="63" t="s">
        <v>67</v>
      </c>
      <c r="H26" s="141">
        <v>0</v>
      </c>
      <c r="I26" s="141">
        <v>0</v>
      </c>
      <c r="J26" s="141">
        <v>0</v>
      </c>
      <c r="K26" s="141">
        <v>0</v>
      </c>
      <c r="L26" s="141">
        <v>0</v>
      </c>
      <c r="M26" s="142">
        <v>0</v>
      </c>
    </row>
    <row r="27" spans="1:13" ht="37.5" customHeight="1">
      <c r="A27" s="689"/>
      <c r="B27" s="659"/>
      <c r="C27" s="746" t="s">
        <v>195</v>
      </c>
      <c r="D27" s="462" t="s">
        <v>133</v>
      </c>
      <c r="E27" s="468"/>
      <c r="F27" s="96" t="s">
        <v>513</v>
      </c>
      <c r="G27" s="63" t="s">
        <v>144</v>
      </c>
      <c r="H27" s="141">
        <v>0</v>
      </c>
      <c r="I27" s="141">
        <v>0</v>
      </c>
      <c r="J27" s="141">
        <v>0</v>
      </c>
      <c r="K27" s="141">
        <v>0</v>
      </c>
      <c r="L27" s="141">
        <v>0</v>
      </c>
      <c r="M27" s="142">
        <v>0</v>
      </c>
    </row>
    <row r="28" spans="1:13" ht="18.75" customHeight="1">
      <c r="A28" s="689"/>
      <c r="B28" s="659"/>
      <c r="C28" s="750"/>
      <c r="D28" s="462" t="s">
        <v>138</v>
      </c>
      <c r="E28" s="468"/>
      <c r="F28" s="96" t="s">
        <v>514</v>
      </c>
      <c r="G28" s="242" t="s">
        <v>931</v>
      </c>
      <c r="H28" s="141">
        <v>0</v>
      </c>
      <c r="I28" s="141">
        <v>0</v>
      </c>
      <c r="J28" s="141">
        <v>0</v>
      </c>
      <c r="K28" s="141">
        <v>0</v>
      </c>
      <c r="L28" s="141">
        <v>0</v>
      </c>
      <c r="M28" s="142">
        <v>0</v>
      </c>
    </row>
    <row r="29" spans="1:18" ht="27" customHeight="1">
      <c r="A29" s="689"/>
      <c r="B29" s="659"/>
      <c r="C29" s="750"/>
      <c r="D29" s="752" t="s">
        <v>183</v>
      </c>
      <c r="E29" s="483"/>
      <c r="F29" s="116" t="s">
        <v>515</v>
      </c>
      <c r="G29" s="194" t="s">
        <v>67</v>
      </c>
      <c r="H29" s="195">
        <v>0</v>
      </c>
      <c r="I29" s="195">
        <v>0</v>
      </c>
      <c r="J29" s="195">
        <v>0</v>
      </c>
      <c r="K29" s="195">
        <v>0</v>
      </c>
      <c r="L29" s="195">
        <v>0</v>
      </c>
      <c r="M29" s="202">
        <v>0</v>
      </c>
      <c r="N29" s="198" t="str">
        <f>IF(AND(H29=SUM(H20,H21),I29=SUM(I20,I21),J29=SUM(J20,J21),K29=SUM(K20,K21),L29=SUM(L20,L21),M29=SUM(M20,M21)),"OK","Pārbaudiet klientu sadalījumu pa dzimumiem")</f>
        <v>OK</v>
      </c>
      <c r="O29" s="199"/>
      <c r="P29" s="196"/>
      <c r="Q29" s="196"/>
      <c r="R29" s="196"/>
    </row>
    <row r="30" spans="1:13" ht="26.25" customHeight="1">
      <c r="A30" s="689"/>
      <c r="B30" s="659"/>
      <c r="C30" s="750"/>
      <c r="D30" s="462" t="s">
        <v>194</v>
      </c>
      <c r="E30" s="468"/>
      <c r="F30" s="96" t="s">
        <v>516</v>
      </c>
      <c r="G30" s="63" t="s">
        <v>67</v>
      </c>
      <c r="H30" s="141">
        <v>0</v>
      </c>
      <c r="I30" s="141">
        <v>0</v>
      </c>
      <c r="J30" s="141">
        <v>0</v>
      </c>
      <c r="K30" s="141">
        <v>0</v>
      </c>
      <c r="L30" s="141">
        <v>0</v>
      </c>
      <c r="M30" s="142">
        <v>0</v>
      </c>
    </row>
    <row r="31" spans="1:13" ht="48.75" customHeight="1">
      <c r="A31" s="689"/>
      <c r="B31" s="660"/>
      <c r="C31" s="751"/>
      <c r="D31" s="462" t="s">
        <v>173</v>
      </c>
      <c r="E31" s="468"/>
      <c r="F31" s="96" t="s">
        <v>517</v>
      </c>
      <c r="G31" s="63" t="s">
        <v>67</v>
      </c>
      <c r="H31" s="141">
        <v>0</v>
      </c>
      <c r="I31" s="141">
        <v>0</v>
      </c>
      <c r="J31" s="141">
        <v>0</v>
      </c>
      <c r="K31" s="141">
        <v>0</v>
      </c>
      <c r="L31" s="141">
        <v>0</v>
      </c>
      <c r="M31" s="142">
        <v>0</v>
      </c>
    </row>
    <row r="32" spans="1:14" ht="29.25" customHeight="1">
      <c r="A32" s="760"/>
      <c r="B32" s="580" t="s">
        <v>210</v>
      </c>
      <c r="C32" s="462" t="s">
        <v>133</v>
      </c>
      <c r="D32" s="462"/>
      <c r="E32" s="462"/>
      <c r="F32" s="92" t="s">
        <v>518</v>
      </c>
      <c r="G32" s="63" t="s">
        <v>144</v>
      </c>
      <c r="H32" s="141">
        <v>0</v>
      </c>
      <c r="I32" s="141">
        <v>0</v>
      </c>
      <c r="J32" s="141">
        <v>0</v>
      </c>
      <c r="K32" s="141">
        <v>0</v>
      </c>
      <c r="L32" s="141">
        <v>0</v>
      </c>
      <c r="M32" s="142">
        <v>0</v>
      </c>
      <c r="N32" s="130"/>
    </row>
    <row r="33" spans="1:13" ht="15.75" customHeight="1">
      <c r="A33" s="760"/>
      <c r="B33" s="755"/>
      <c r="C33" s="462" t="s">
        <v>138</v>
      </c>
      <c r="D33" s="462"/>
      <c r="E33" s="462"/>
      <c r="F33" s="92" t="s">
        <v>523</v>
      </c>
      <c r="G33" s="242" t="s">
        <v>931</v>
      </c>
      <c r="H33" s="141">
        <v>0</v>
      </c>
      <c r="I33" s="141">
        <v>0</v>
      </c>
      <c r="J33" s="141">
        <v>0</v>
      </c>
      <c r="K33" s="141">
        <v>0</v>
      </c>
      <c r="L33" s="141">
        <v>0</v>
      </c>
      <c r="M33" s="142">
        <v>0</v>
      </c>
    </row>
    <row r="34" spans="1:13" ht="15.75" customHeight="1">
      <c r="A34" s="760"/>
      <c r="B34" s="755"/>
      <c r="C34" s="462" t="s">
        <v>197</v>
      </c>
      <c r="D34" s="462"/>
      <c r="E34" s="462"/>
      <c r="F34" s="92" t="s">
        <v>524</v>
      </c>
      <c r="G34" s="63" t="s">
        <v>67</v>
      </c>
      <c r="H34" s="141">
        <v>0</v>
      </c>
      <c r="I34" s="141">
        <v>0</v>
      </c>
      <c r="J34" s="141">
        <v>0</v>
      </c>
      <c r="K34" s="141">
        <v>0</v>
      </c>
      <c r="L34" s="141">
        <v>0</v>
      </c>
      <c r="M34" s="142">
        <v>0</v>
      </c>
    </row>
    <row r="35" spans="1:13" ht="21" customHeight="1">
      <c r="A35" s="760"/>
      <c r="B35" s="755"/>
      <c r="C35" s="462" t="s">
        <v>194</v>
      </c>
      <c r="D35" s="468"/>
      <c r="E35" s="468"/>
      <c r="F35" s="92" t="s">
        <v>525</v>
      </c>
      <c r="G35" s="63" t="s">
        <v>67</v>
      </c>
      <c r="H35" s="141">
        <v>0</v>
      </c>
      <c r="I35" s="141">
        <v>0</v>
      </c>
      <c r="J35" s="141">
        <v>0</v>
      </c>
      <c r="K35" s="141">
        <v>0</v>
      </c>
      <c r="L35" s="141">
        <v>0</v>
      </c>
      <c r="M35" s="142">
        <v>0</v>
      </c>
    </row>
    <row r="36" spans="1:13" ht="36" customHeight="1">
      <c r="A36" s="760"/>
      <c r="B36" s="756"/>
      <c r="C36" s="462" t="s">
        <v>173</v>
      </c>
      <c r="D36" s="471"/>
      <c r="E36" s="471"/>
      <c r="F36" s="92" t="s">
        <v>526</v>
      </c>
      <c r="G36" s="63" t="s">
        <v>67</v>
      </c>
      <c r="H36" s="141">
        <v>0</v>
      </c>
      <c r="I36" s="141">
        <v>0</v>
      </c>
      <c r="J36" s="141">
        <v>0</v>
      </c>
      <c r="K36" s="141">
        <v>0</v>
      </c>
      <c r="L36" s="141">
        <v>0</v>
      </c>
      <c r="M36" s="142">
        <v>0</v>
      </c>
    </row>
    <row r="37" spans="1:13" ht="13.5" customHeight="1" hidden="1">
      <c r="A37" s="760"/>
      <c r="B37" s="83"/>
      <c r="C37" s="84"/>
      <c r="D37" s="84"/>
      <c r="E37" s="84"/>
      <c r="F37" s="113"/>
      <c r="G37" s="84"/>
      <c r="H37" s="236"/>
      <c r="I37" s="236"/>
      <c r="J37" s="236"/>
      <c r="K37" s="236"/>
      <c r="L37" s="236"/>
      <c r="M37" s="237"/>
    </row>
    <row r="38" spans="1:13" ht="25.5">
      <c r="A38" s="760"/>
      <c r="B38" s="580" t="s">
        <v>211</v>
      </c>
      <c r="C38" s="462" t="s">
        <v>133</v>
      </c>
      <c r="D38" s="462"/>
      <c r="E38" s="462"/>
      <c r="F38" s="92" t="s">
        <v>519</v>
      </c>
      <c r="G38" s="63" t="s">
        <v>144</v>
      </c>
      <c r="H38" s="141">
        <v>0</v>
      </c>
      <c r="I38" s="141">
        <v>0</v>
      </c>
      <c r="J38" s="141">
        <v>0</v>
      </c>
      <c r="K38" s="141">
        <v>0</v>
      </c>
      <c r="L38" s="141">
        <v>0</v>
      </c>
      <c r="M38" s="142">
        <v>0</v>
      </c>
    </row>
    <row r="39" spans="1:13" ht="12.75">
      <c r="A39" s="760"/>
      <c r="B39" s="755"/>
      <c r="C39" s="462" t="s">
        <v>138</v>
      </c>
      <c r="D39" s="462"/>
      <c r="E39" s="462"/>
      <c r="F39" s="92" t="s">
        <v>527</v>
      </c>
      <c r="G39" s="242" t="s">
        <v>931</v>
      </c>
      <c r="H39" s="141">
        <v>0</v>
      </c>
      <c r="I39" s="141">
        <v>0</v>
      </c>
      <c r="J39" s="141">
        <v>0</v>
      </c>
      <c r="K39" s="141">
        <v>0</v>
      </c>
      <c r="L39" s="141">
        <v>0</v>
      </c>
      <c r="M39" s="142">
        <v>0</v>
      </c>
    </row>
    <row r="40" spans="1:13" ht="12.75">
      <c r="A40" s="760"/>
      <c r="B40" s="755"/>
      <c r="C40" s="462" t="s">
        <v>197</v>
      </c>
      <c r="D40" s="462"/>
      <c r="E40" s="462"/>
      <c r="F40" s="92" t="s">
        <v>528</v>
      </c>
      <c r="G40" s="63" t="s">
        <v>67</v>
      </c>
      <c r="H40" s="141">
        <v>0</v>
      </c>
      <c r="I40" s="141">
        <v>0</v>
      </c>
      <c r="J40" s="141">
        <v>0</v>
      </c>
      <c r="K40" s="141">
        <v>0</v>
      </c>
      <c r="L40" s="141">
        <v>0</v>
      </c>
      <c r="M40" s="142">
        <v>0</v>
      </c>
    </row>
    <row r="41" spans="1:13" ht="12.75">
      <c r="A41" s="760"/>
      <c r="B41" s="755"/>
      <c r="C41" s="462" t="s">
        <v>194</v>
      </c>
      <c r="D41" s="468"/>
      <c r="E41" s="468"/>
      <c r="F41" s="92" t="s">
        <v>529</v>
      </c>
      <c r="G41" s="63" t="s">
        <v>67</v>
      </c>
      <c r="H41" s="141">
        <v>0</v>
      </c>
      <c r="I41" s="141">
        <v>0</v>
      </c>
      <c r="J41" s="141">
        <v>0</v>
      </c>
      <c r="K41" s="141">
        <v>0</v>
      </c>
      <c r="L41" s="141">
        <v>0</v>
      </c>
      <c r="M41" s="142">
        <v>0</v>
      </c>
    </row>
    <row r="42" spans="1:13" ht="37.5" customHeight="1">
      <c r="A42" s="760"/>
      <c r="B42" s="756"/>
      <c r="C42" s="462" t="s">
        <v>173</v>
      </c>
      <c r="D42" s="471"/>
      <c r="E42" s="471"/>
      <c r="F42" s="92" t="s">
        <v>530</v>
      </c>
      <c r="G42" s="63" t="s">
        <v>67</v>
      </c>
      <c r="H42" s="141">
        <v>0</v>
      </c>
      <c r="I42" s="141">
        <v>0</v>
      </c>
      <c r="J42" s="141">
        <v>0</v>
      </c>
      <c r="K42" s="141">
        <v>0</v>
      </c>
      <c r="L42" s="141">
        <v>0</v>
      </c>
      <c r="M42" s="142">
        <v>0</v>
      </c>
    </row>
    <row r="43" spans="1:13" ht="25.5">
      <c r="A43" s="760"/>
      <c r="B43" s="762" t="s">
        <v>1299</v>
      </c>
      <c r="C43" s="639" t="s">
        <v>133</v>
      </c>
      <c r="D43" s="639"/>
      <c r="E43" s="639"/>
      <c r="F43" s="92" t="s">
        <v>520</v>
      </c>
      <c r="G43" s="63" t="s">
        <v>144</v>
      </c>
      <c r="H43" s="141">
        <v>0</v>
      </c>
      <c r="I43" s="141">
        <v>0</v>
      </c>
      <c r="J43" s="141">
        <v>0</v>
      </c>
      <c r="K43" s="141">
        <v>0</v>
      </c>
      <c r="L43" s="141">
        <v>0</v>
      </c>
      <c r="M43" s="142">
        <v>0</v>
      </c>
    </row>
    <row r="44" spans="1:13" ht="12.75">
      <c r="A44" s="760"/>
      <c r="B44" s="763"/>
      <c r="C44" s="462" t="s">
        <v>138</v>
      </c>
      <c r="D44" s="462"/>
      <c r="E44" s="462"/>
      <c r="F44" s="92" t="s">
        <v>531</v>
      </c>
      <c r="G44" s="242" t="s">
        <v>931</v>
      </c>
      <c r="H44" s="141">
        <v>0</v>
      </c>
      <c r="I44" s="141">
        <v>0</v>
      </c>
      <c r="J44" s="141">
        <v>0</v>
      </c>
      <c r="K44" s="141">
        <v>0</v>
      </c>
      <c r="L44" s="141">
        <v>0</v>
      </c>
      <c r="M44" s="142">
        <v>0</v>
      </c>
    </row>
    <row r="45" spans="1:13" ht="12.75">
      <c r="A45" s="760"/>
      <c r="B45" s="763"/>
      <c r="C45" s="462" t="s">
        <v>197</v>
      </c>
      <c r="D45" s="462"/>
      <c r="E45" s="462"/>
      <c r="F45" s="92" t="s">
        <v>494</v>
      </c>
      <c r="G45" s="63" t="s">
        <v>67</v>
      </c>
      <c r="H45" s="141">
        <v>0</v>
      </c>
      <c r="I45" s="141">
        <v>0</v>
      </c>
      <c r="J45" s="141">
        <v>0</v>
      </c>
      <c r="K45" s="141">
        <v>0</v>
      </c>
      <c r="L45" s="141">
        <v>0</v>
      </c>
      <c r="M45" s="142">
        <v>0</v>
      </c>
    </row>
    <row r="46" spans="1:13" ht="12.75">
      <c r="A46" s="760"/>
      <c r="B46" s="763"/>
      <c r="C46" s="462" t="s">
        <v>194</v>
      </c>
      <c r="D46" s="468"/>
      <c r="E46" s="468"/>
      <c r="F46" s="92" t="s">
        <v>532</v>
      </c>
      <c r="G46" s="63" t="s">
        <v>67</v>
      </c>
      <c r="H46" s="141">
        <v>0</v>
      </c>
      <c r="I46" s="141">
        <v>0</v>
      </c>
      <c r="J46" s="141">
        <v>0</v>
      </c>
      <c r="K46" s="141">
        <v>0</v>
      </c>
      <c r="L46" s="141">
        <v>0</v>
      </c>
      <c r="M46" s="142">
        <v>0</v>
      </c>
    </row>
    <row r="47" spans="1:13" ht="37.5" customHeight="1">
      <c r="A47" s="760"/>
      <c r="B47" s="764"/>
      <c r="C47" s="462" t="s">
        <v>173</v>
      </c>
      <c r="D47" s="471"/>
      <c r="E47" s="471"/>
      <c r="F47" s="92" t="s">
        <v>533</v>
      </c>
      <c r="G47" s="63" t="s">
        <v>67</v>
      </c>
      <c r="H47" s="141">
        <v>0</v>
      </c>
      <c r="I47" s="141">
        <v>0</v>
      </c>
      <c r="J47" s="141">
        <v>0</v>
      </c>
      <c r="K47" s="141">
        <v>0</v>
      </c>
      <c r="L47" s="141">
        <v>0</v>
      </c>
      <c r="M47" s="142">
        <v>0</v>
      </c>
    </row>
    <row r="48" spans="1:13" ht="25.5">
      <c r="A48" s="760"/>
      <c r="B48" s="765" t="s">
        <v>1300</v>
      </c>
      <c r="C48" s="639" t="s">
        <v>133</v>
      </c>
      <c r="D48" s="639"/>
      <c r="E48" s="639"/>
      <c r="F48" s="92" t="s">
        <v>521</v>
      </c>
      <c r="G48" s="63" t="s">
        <v>144</v>
      </c>
      <c r="H48" s="141">
        <v>0</v>
      </c>
      <c r="I48" s="141">
        <v>0</v>
      </c>
      <c r="J48" s="141">
        <v>0</v>
      </c>
      <c r="K48" s="141">
        <v>0</v>
      </c>
      <c r="L48" s="141">
        <v>0</v>
      </c>
      <c r="M48" s="142">
        <v>0</v>
      </c>
    </row>
    <row r="49" spans="1:13" ht="12.75">
      <c r="A49" s="760"/>
      <c r="B49" s="766"/>
      <c r="C49" s="462" t="s">
        <v>138</v>
      </c>
      <c r="D49" s="462"/>
      <c r="E49" s="462"/>
      <c r="F49" s="92" t="s">
        <v>534</v>
      </c>
      <c r="G49" s="242" t="s">
        <v>931</v>
      </c>
      <c r="H49" s="141">
        <v>0</v>
      </c>
      <c r="I49" s="141">
        <v>0</v>
      </c>
      <c r="J49" s="141">
        <v>0</v>
      </c>
      <c r="K49" s="141">
        <v>0</v>
      </c>
      <c r="L49" s="141">
        <v>0</v>
      </c>
      <c r="M49" s="142">
        <v>0</v>
      </c>
    </row>
    <row r="50" spans="1:13" ht="12.75">
      <c r="A50" s="760"/>
      <c r="B50" s="766"/>
      <c r="C50" s="462" t="s">
        <v>197</v>
      </c>
      <c r="D50" s="462"/>
      <c r="E50" s="462"/>
      <c r="F50" s="92" t="s">
        <v>535</v>
      </c>
      <c r="G50" s="63" t="s">
        <v>67</v>
      </c>
      <c r="H50" s="141">
        <v>0</v>
      </c>
      <c r="I50" s="141">
        <v>0</v>
      </c>
      <c r="J50" s="141">
        <v>0</v>
      </c>
      <c r="K50" s="141">
        <v>0</v>
      </c>
      <c r="L50" s="141">
        <v>0</v>
      </c>
      <c r="M50" s="142">
        <v>0</v>
      </c>
    </row>
    <row r="51" spans="1:13" ht="12.75">
      <c r="A51" s="760"/>
      <c r="B51" s="766"/>
      <c r="C51" s="462" t="s">
        <v>194</v>
      </c>
      <c r="D51" s="468"/>
      <c r="E51" s="468"/>
      <c r="F51" s="92" t="s">
        <v>536</v>
      </c>
      <c r="G51" s="63" t="s">
        <v>67</v>
      </c>
      <c r="H51" s="141">
        <v>0</v>
      </c>
      <c r="I51" s="141">
        <v>0</v>
      </c>
      <c r="J51" s="141">
        <v>0</v>
      </c>
      <c r="K51" s="141">
        <v>0</v>
      </c>
      <c r="L51" s="141">
        <v>0</v>
      </c>
      <c r="M51" s="142">
        <v>0</v>
      </c>
    </row>
    <row r="52" spans="1:13" ht="37.5" customHeight="1">
      <c r="A52" s="760"/>
      <c r="B52" s="767"/>
      <c r="C52" s="462" t="s">
        <v>173</v>
      </c>
      <c r="D52" s="471"/>
      <c r="E52" s="471"/>
      <c r="F52" s="92" t="s">
        <v>537</v>
      </c>
      <c r="G52" s="63" t="s">
        <v>67</v>
      </c>
      <c r="H52" s="141">
        <v>0</v>
      </c>
      <c r="I52" s="141">
        <v>0</v>
      </c>
      <c r="J52" s="141">
        <v>0</v>
      </c>
      <c r="K52" s="141">
        <v>0</v>
      </c>
      <c r="L52" s="141">
        <v>0</v>
      </c>
      <c r="M52" s="142">
        <v>0</v>
      </c>
    </row>
    <row r="53" spans="1:13" ht="25.5">
      <c r="A53" s="760"/>
      <c r="B53" s="746" t="s">
        <v>212</v>
      </c>
      <c r="C53" s="639" t="s">
        <v>133</v>
      </c>
      <c r="D53" s="639"/>
      <c r="E53" s="639"/>
      <c r="F53" s="92" t="s">
        <v>522</v>
      </c>
      <c r="G53" s="63" t="s">
        <v>144</v>
      </c>
      <c r="H53" s="141">
        <v>1</v>
      </c>
      <c r="I53" s="141">
        <v>0</v>
      </c>
      <c r="J53" s="141">
        <v>0</v>
      </c>
      <c r="K53" s="141">
        <v>0</v>
      </c>
      <c r="L53" s="141">
        <v>0</v>
      </c>
      <c r="M53" s="142">
        <v>0</v>
      </c>
    </row>
    <row r="54" spans="1:13" ht="17.25" customHeight="1">
      <c r="A54" s="760"/>
      <c r="B54" s="747"/>
      <c r="C54" s="462" t="s">
        <v>138</v>
      </c>
      <c r="D54" s="462"/>
      <c r="E54" s="462"/>
      <c r="F54" s="92" t="s">
        <v>538</v>
      </c>
      <c r="G54" s="242" t="s">
        <v>931</v>
      </c>
      <c r="H54" s="141">
        <v>36140</v>
      </c>
      <c r="I54" s="141">
        <v>0</v>
      </c>
      <c r="J54" s="141">
        <v>0</v>
      </c>
      <c r="K54" s="141">
        <v>0</v>
      </c>
      <c r="L54" s="141">
        <v>0</v>
      </c>
      <c r="M54" s="142">
        <v>0</v>
      </c>
    </row>
    <row r="55" spans="1:13" ht="21.75" customHeight="1" thickBot="1">
      <c r="A55" s="761"/>
      <c r="B55" s="748"/>
      <c r="C55" s="473" t="s">
        <v>197</v>
      </c>
      <c r="D55" s="473"/>
      <c r="E55" s="473"/>
      <c r="F55" s="93" t="s">
        <v>539</v>
      </c>
      <c r="G55" s="69" t="s">
        <v>67</v>
      </c>
      <c r="H55" s="143">
        <v>97</v>
      </c>
      <c r="I55" s="143">
        <v>0</v>
      </c>
      <c r="J55" s="143">
        <v>0</v>
      </c>
      <c r="K55" s="143">
        <v>0</v>
      </c>
      <c r="L55" s="143">
        <v>0</v>
      </c>
      <c r="M55" s="144">
        <v>0</v>
      </c>
    </row>
  </sheetData>
  <sheetProtection password="CE88" sheet="1" objects="1" scenarios="1"/>
  <mergeCells count="72">
    <mergeCell ref="B48:B52"/>
    <mergeCell ref="C48:E48"/>
    <mergeCell ref="C49:E49"/>
    <mergeCell ref="C50:E50"/>
    <mergeCell ref="C51:E51"/>
    <mergeCell ref="C52:E52"/>
    <mergeCell ref="B38:B42"/>
    <mergeCell ref="C38:E38"/>
    <mergeCell ref="C39:E39"/>
    <mergeCell ref="A1:M1"/>
    <mergeCell ref="A15:A55"/>
    <mergeCell ref="B10:B13"/>
    <mergeCell ref="C10:C11"/>
    <mergeCell ref="B43:B47"/>
    <mergeCell ref="C43:E43"/>
    <mergeCell ref="C44:E44"/>
    <mergeCell ref="C45:E45"/>
    <mergeCell ref="C46:E46"/>
    <mergeCell ref="C47:E47"/>
    <mergeCell ref="C40:E40"/>
    <mergeCell ref="C41:E41"/>
    <mergeCell ref="C42:E42"/>
    <mergeCell ref="C36:E36"/>
    <mergeCell ref="B32:B36"/>
    <mergeCell ref="D25:E25"/>
    <mergeCell ref="D26:E26"/>
    <mergeCell ref="C22:C26"/>
    <mergeCell ref="C32:E32"/>
    <mergeCell ref="C33:E33"/>
    <mergeCell ref="C34:E34"/>
    <mergeCell ref="C35:E35"/>
    <mergeCell ref="B22:B31"/>
    <mergeCell ref="B7:E7"/>
    <mergeCell ref="D22:E22"/>
    <mergeCell ref="A5:A14"/>
    <mergeCell ref="B5:E5"/>
    <mergeCell ref="B6:E6"/>
    <mergeCell ref="B15:B21"/>
    <mergeCell ref="C15:E15"/>
    <mergeCell ref="C16:E16"/>
    <mergeCell ref="C17:E17"/>
    <mergeCell ref="C18:C21"/>
    <mergeCell ref="A2:E4"/>
    <mergeCell ref="H2:H4"/>
    <mergeCell ref="I2:M2"/>
    <mergeCell ref="I3:I4"/>
    <mergeCell ref="J3:K3"/>
    <mergeCell ref="L3:M3"/>
    <mergeCell ref="F2:F4"/>
    <mergeCell ref="G2:G4"/>
    <mergeCell ref="C27:C31"/>
    <mergeCell ref="D27:E27"/>
    <mergeCell ref="D28:E28"/>
    <mergeCell ref="D29:E29"/>
    <mergeCell ref="D30:E30"/>
    <mergeCell ref="D31:E31"/>
    <mergeCell ref="D20:D21"/>
    <mergeCell ref="D18:D19"/>
    <mergeCell ref="B8:E8"/>
    <mergeCell ref="B9:E9"/>
    <mergeCell ref="D10:E10"/>
    <mergeCell ref="D11:E11"/>
    <mergeCell ref="B53:B55"/>
    <mergeCell ref="C53:E53"/>
    <mergeCell ref="C54:E54"/>
    <mergeCell ref="C55:E55"/>
    <mergeCell ref="B14:E14"/>
    <mergeCell ref="C12:C13"/>
    <mergeCell ref="D23:E23"/>
    <mergeCell ref="D24:E24"/>
    <mergeCell ref="D12:E12"/>
    <mergeCell ref="D13:E13"/>
  </mergeCells>
  <printOptions/>
  <pageMargins left="0.49" right="0.75" top="0.32" bottom="0.36" header="0.21" footer="0.24"/>
  <pageSetup horizontalDpi="1200" verticalDpi="1200" orientation="landscape" paperSize="9" r:id="rId1"/>
  <headerFooter alignWithMargins="0">
    <oddFooter>&amp;R20 - 22</oddFooter>
  </headerFooter>
</worksheet>
</file>

<file path=xl/worksheets/sheet17.xml><?xml version="1.0" encoding="utf-8"?>
<worksheet xmlns="http://schemas.openxmlformats.org/spreadsheetml/2006/main" xmlns:r="http://schemas.openxmlformats.org/officeDocument/2006/relationships">
  <dimension ref="A1:N29"/>
  <sheetViews>
    <sheetView zoomScalePageLayoutView="0" workbookViewId="0" topLeftCell="A1">
      <selection activeCell="G16" sqref="G16"/>
    </sheetView>
  </sheetViews>
  <sheetFormatPr defaultColWidth="9.140625" defaultRowHeight="12.75"/>
  <cols>
    <col min="1" max="1" width="11.7109375" style="148" customWidth="1"/>
    <col min="2" max="2" width="9.140625" style="148" customWidth="1"/>
    <col min="3" max="3" width="10.140625" style="148" customWidth="1"/>
    <col min="4" max="4" width="15.8515625" style="148" customWidth="1"/>
    <col min="5" max="5" width="11.8515625" style="168" customWidth="1"/>
    <col min="6" max="6" width="14.00390625" style="148" customWidth="1"/>
    <col min="7" max="7" width="12.7109375" style="148" customWidth="1"/>
    <col min="8" max="9" width="9.140625" style="148" customWidth="1"/>
  </cols>
  <sheetData>
    <row r="1" spans="1:7" ht="25.5" customHeight="1" thickBot="1">
      <c r="A1" s="773" t="s">
        <v>213</v>
      </c>
      <c r="B1" s="774"/>
      <c r="C1" s="774"/>
      <c r="D1" s="774"/>
      <c r="E1" s="774"/>
      <c r="F1" s="774"/>
      <c r="G1" s="774"/>
    </row>
    <row r="2" spans="1:7" ht="15" thickBot="1">
      <c r="A2" s="445" t="s">
        <v>63</v>
      </c>
      <c r="B2" s="447"/>
      <c r="C2" s="447"/>
      <c r="D2" s="772"/>
      <c r="E2" s="149" t="s">
        <v>60</v>
      </c>
      <c r="F2" s="135" t="s">
        <v>61</v>
      </c>
      <c r="G2" s="150" t="s">
        <v>62</v>
      </c>
    </row>
    <row r="3" spans="1:9" s="64" customFormat="1" ht="13.5" thickBot="1">
      <c r="A3" s="776" t="s">
        <v>214</v>
      </c>
      <c r="B3" s="704" t="s">
        <v>215</v>
      </c>
      <c r="C3" s="704"/>
      <c r="D3" s="704"/>
      <c r="E3" s="152" t="s">
        <v>542</v>
      </c>
      <c r="F3" s="245" t="s">
        <v>931</v>
      </c>
      <c r="G3" s="203">
        <f>'3.1.3'!F3+'3.1.4'!G3+'3.1.5'!G3+'3.2'!H3</f>
        <v>323305.13</v>
      </c>
      <c r="H3" s="154" t="str">
        <f>IF(G3=G4+G5,"OK","Pārbaudi naudā un natūrā izmaksātos pabalstus visās tabulās")</f>
        <v>OK</v>
      </c>
      <c r="I3" s="155"/>
    </row>
    <row r="4" spans="1:9" s="64" customFormat="1" ht="13.5" thickBot="1">
      <c r="A4" s="777"/>
      <c r="B4" s="421" t="s">
        <v>74</v>
      </c>
      <c r="C4" s="706" t="s">
        <v>216</v>
      </c>
      <c r="D4" s="706"/>
      <c r="E4" s="157" t="s">
        <v>544</v>
      </c>
      <c r="F4" s="246" t="s">
        <v>931</v>
      </c>
      <c r="G4" s="203">
        <f>'3.1.3'!F4+'3.1.4'!G4+'3.1.5'!G4+'3.2'!H4</f>
        <v>175098.25999999998</v>
      </c>
      <c r="H4" s="154" t="str">
        <f>IF(G4&gt;='3.1'!G4,"OK","Pārbaudiet izlietoto līdzekļu sadalījumu naudā saistītajās tabulās!")</f>
        <v>OK</v>
      </c>
      <c r="I4" s="158"/>
    </row>
    <row r="5" spans="1:9" s="64" customFormat="1" ht="12.75">
      <c r="A5" s="777"/>
      <c r="B5" s="421"/>
      <c r="C5" s="710" t="s">
        <v>217</v>
      </c>
      <c r="D5" s="710"/>
      <c r="E5" s="157" t="s">
        <v>545</v>
      </c>
      <c r="F5" s="246" t="s">
        <v>931</v>
      </c>
      <c r="G5" s="203">
        <f>'3.1.3'!F5+'3.1.4'!G5+'3.1.5'!G5+'3.2'!H5</f>
        <v>148206.87</v>
      </c>
      <c r="H5" s="154" t="str">
        <f>IF(G5&gt;='3.1'!G5,"OK","Pārbaudiet izlietoto līdzekļu sadalījumu natūrā saistītajās tabulās!")</f>
        <v>OK</v>
      </c>
      <c r="I5" s="158"/>
    </row>
    <row r="6" spans="1:9" s="64" customFormat="1" ht="25.5">
      <c r="A6" s="777"/>
      <c r="B6" s="573" t="s">
        <v>1125</v>
      </c>
      <c r="C6" s="775"/>
      <c r="D6" s="775"/>
      <c r="E6" s="224" t="s">
        <v>543</v>
      </c>
      <c r="F6" s="285" t="s">
        <v>953</v>
      </c>
      <c r="G6" s="137">
        <v>1167</v>
      </c>
      <c r="H6" s="154" t="str">
        <f>IF(G6&gt;='3.1'!G6,"OK","Pārbaudiet ģimenu skaitu saistītajās tabulās!")</f>
        <v>OK</v>
      </c>
      <c r="I6" s="158"/>
    </row>
    <row r="7" spans="1:9" s="64" customFormat="1" ht="12.75">
      <c r="A7" s="777"/>
      <c r="B7" s="706" t="s">
        <v>949</v>
      </c>
      <c r="C7" s="706"/>
      <c r="D7" s="706"/>
      <c r="E7" s="160" t="s">
        <v>546</v>
      </c>
      <c r="F7" s="156" t="s">
        <v>67</v>
      </c>
      <c r="G7" s="161">
        <f>G12+G14+G19+G20</f>
        <v>1909</v>
      </c>
      <c r="H7" s="154" t="str">
        <f>IF(G7&gt;='3.1'!G7,"OK","Pārbaudiet ģimenu skaitu saistītajās tabulās!")</f>
        <v>OK</v>
      </c>
      <c r="I7" s="154" t="str">
        <f>IF(G7=(G8+G9+G10+G11),"OK","Pārbaudiet klientu sadalījumu pa dzimumiem!")</f>
        <v>OK</v>
      </c>
    </row>
    <row r="8" spans="1:9" s="64" customFormat="1" ht="12.75">
      <c r="A8" s="777"/>
      <c r="B8" s="712" t="s">
        <v>105</v>
      </c>
      <c r="C8" s="712" t="s">
        <v>140</v>
      </c>
      <c r="D8" s="156" t="s">
        <v>218</v>
      </c>
      <c r="E8" s="163" t="s">
        <v>547</v>
      </c>
      <c r="F8" s="156" t="s">
        <v>67</v>
      </c>
      <c r="G8" s="137">
        <v>192</v>
      </c>
      <c r="H8" s="154" t="str">
        <f>IF(G8&gt;='3.1'!G8,"OK","Pārbaudiet personu sadalījumu ģimenēm saistītajās tabulās!")</f>
        <v>OK</v>
      </c>
      <c r="I8" s="158"/>
    </row>
    <row r="9" spans="1:9" s="64" customFormat="1" ht="12.75">
      <c r="A9" s="777"/>
      <c r="B9" s="712"/>
      <c r="C9" s="712"/>
      <c r="D9" s="156" t="s">
        <v>143</v>
      </c>
      <c r="E9" s="163" t="s">
        <v>548</v>
      </c>
      <c r="F9" s="156" t="s">
        <v>67</v>
      </c>
      <c r="G9" s="137">
        <v>197</v>
      </c>
      <c r="H9" s="154" t="str">
        <f>IF(G9&gt;='3.1'!G9,"OK","Pārbaudiet personu sadalījumu ģimenēm saistītajās tabulās!")</f>
        <v>OK</v>
      </c>
      <c r="I9" s="158"/>
    </row>
    <row r="10" spans="1:9" s="64" customFormat="1" ht="12.75">
      <c r="A10" s="778"/>
      <c r="B10" s="710"/>
      <c r="C10" s="421" t="s">
        <v>141</v>
      </c>
      <c r="D10" s="156" t="s">
        <v>218</v>
      </c>
      <c r="E10" s="163" t="s">
        <v>549</v>
      </c>
      <c r="F10" s="156" t="s">
        <v>67</v>
      </c>
      <c r="G10" s="137">
        <v>606</v>
      </c>
      <c r="H10" s="154" t="str">
        <f>IF(G10&gt;='3.1'!G10,"OK","Pārbaudiet personu sadalījumu ģimenēm saistītajās tabulās!")</f>
        <v>OK</v>
      </c>
      <c r="I10" s="154" t="str">
        <f>IF(G10+G11=G14+G19+G20,"OK","Pārbaudiet pilngadīgu personu sadalījumu!")</f>
        <v>OK</v>
      </c>
    </row>
    <row r="11" spans="1:9" s="64" customFormat="1" ht="12.75">
      <c r="A11" s="778"/>
      <c r="B11" s="710"/>
      <c r="C11" s="421"/>
      <c r="D11" s="156" t="s">
        <v>143</v>
      </c>
      <c r="E11" s="163" t="s">
        <v>550</v>
      </c>
      <c r="F11" s="156" t="s">
        <v>67</v>
      </c>
      <c r="G11" s="137">
        <v>914</v>
      </c>
      <c r="H11" s="154" t="str">
        <f>IF(G11&gt;='3.1'!G11,"OK","Pārbaudiet personu sadalījumu ģimenēm saistītajās tabulās!")</f>
        <v>OK</v>
      </c>
      <c r="I11" s="158"/>
    </row>
    <row r="12" spans="1:13" s="64" customFormat="1" ht="12.75">
      <c r="A12" s="778"/>
      <c r="B12" s="769" t="s">
        <v>105</v>
      </c>
      <c r="C12" s="706" t="s">
        <v>140</v>
      </c>
      <c r="D12" s="710"/>
      <c r="E12" s="160" t="s">
        <v>551</v>
      </c>
      <c r="F12" s="156" t="s">
        <v>67</v>
      </c>
      <c r="G12" s="137">
        <v>389</v>
      </c>
      <c r="H12" s="154" t="str">
        <f>IF(G12=G8+G9,"OK","Pārbaudiet klientu sadalījumu pa dzimumiem!")</f>
        <v>OK</v>
      </c>
      <c r="I12" s="154" t="str">
        <f>IF(G12&gt;='3.1'!G12,"OK","Pārbaudiet personu sadalījumu ģimenēm saistītajās tabulās!")</f>
        <v>OK</v>
      </c>
      <c r="M12" s="64" t="str">
        <f>IF(G6&lt;='3.1'!G6+'3.1.1_3.1.2'!H19+'3.1.3'!F6+'3.1.4'!G9+'3.1.5'!G6+'3.2'!H6,"OK","Pārbaudi "&amp;'3.1'!F6)</f>
        <v>OK</v>
      </c>
    </row>
    <row r="13" spans="1:13" s="1" customFormat="1" ht="12.75">
      <c r="A13" s="778"/>
      <c r="B13" s="770"/>
      <c r="C13" s="706" t="s">
        <v>219</v>
      </c>
      <c r="D13" s="710"/>
      <c r="E13" s="164" t="s">
        <v>552</v>
      </c>
      <c r="F13" s="156" t="s">
        <v>67</v>
      </c>
      <c r="G13" s="137">
        <v>20</v>
      </c>
      <c r="H13" s="154" t="str">
        <f>IF(G13&lt;=G12,"OK","Bērnu ar invaliditāti skaits pārsniedz kopējo bērnu skaitu!")</f>
        <v>OK</v>
      </c>
      <c r="I13" s="154" t="str">
        <f>IF(G13&gt;='3.1'!G13,"OK","Pārbaudiet personu sadalījumu ģimenēm saistītajās tabulās!")</f>
        <v>OK</v>
      </c>
      <c r="M13" s="1" t="str">
        <f>IF(G7&lt;='3.1'!G7+'3.2'!H7,"OK","pārbaudi cilvēkus")</f>
        <v>OK</v>
      </c>
    </row>
    <row r="14" spans="1:9" s="1" customFormat="1" ht="23.25" customHeight="1">
      <c r="A14" s="778"/>
      <c r="B14" s="770"/>
      <c r="C14" s="706" t="s">
        <v>220</v>
      </c>
      <c r="D14" s="710"/>
      <c r="E14" s="160" t="s">
        <v>553</v>
      </c>
      <c r="F14" s="156" t="s">
        <v>67</v>
      </c>
      <c r="G14" s="161">
        <f>G15+G16+G17</f>
        <v>417</v>
      </c>
      <c r="H14" s="154" t="str">
        <f>IF(G14&gt;='3.1'!G14,"OK","Pārbaudiet personu sadalījumu ģimenēm saistītajās tabulās!")</f>
        <v>OK</v>
      </c>
      <c r="I14" s="5"/>
    </row>
    <row r="15" spans="1:9" s="1" customFormat="1" ht="25.5">
      <c r="A15" s="778"/>
      <c r="B15" s="770"/>
      <c r="C15" s="769" t="s">
        <v>105</v>
      </c>
      <c r="D15" s="156" t="s">
        <v>221</v>
      </c>
      <c r="E15" s="164" t="s">
        <v>554</v>
      </c>
      <c r="F15" s="156" t="s">
        <v>67</v>
      </c>
      <c r="G15" s="137">
        <v>61</v>
      </c>
      <c r="H15" s="154" t="str">
        <f>IF(G15&gt;='3.1'!G15,"OK","Pārbaudiet personu sadalījumu ģimenēm saistītajās tabulās!")</f>
        <v>OK</v>
      </c>
      <c r="I15" s="5"/>
    </row>
    <row r="16" spans="1:9" s="1" customFormat="1" ht="25.5">
      <c r="A16" s="778"/>
      <c r="B16" s="770"/>
      <c r="C16" s="770"/>
      <c r="D16" s="156" t="s">
        <v>222</v>
      </c>
      <c r="E16" s="164" t="s">
        <v>555</v>
      </c>
      <c r="F16" s="156" t="s">
        <v>67</v>
      </c>
      <c r="G16" s="137">
        <v>338</v>
      </c>
      <c r="H16" s="154" t="str">
        <f>IF(G16&gt;='3.1'!G16,"OK","Pārbaudiet personu sadalījumu ģimenēm saistītajās tabulās!")</f>
        <v>OK</v>
      </c>
      <c r="I16" s="5"/>
    </row>
    <row r="17" spans="1:9" s="1" customFormat="1" ht="36" customHeight="1">
      <c r="A17" s="778"/>
      <c r="B17" s="770"/>
      <c r="C17" s="771"/>
      <c r="D17" s="156" t="s">
        <v>223</v>
      </c>
      <c r="E17" s="164" t="s">
        <v>556</v>
      </c>
      <c r="F17" s="156" t="s">
        <v>67</v>
      </c>
      <c r="G17" s="137">
        <v>18</v>
      </c>
      <c r="H17" s="154" t="str">
        <f>IF(G17&gt;='3.1'!G17,"OK","Pārbaudiet personu sadalījumu ģimenēm saistītajās tabulās!")</f>
        <v>OK</v>
      </c>
      <c r="I17" s="5"/>
    </row>
    <row r="18" spans="1:9" s="1" customFormat="1" ht="35.25" customHeight="1">
      <c r="A18" s="778"/>
      <c r="B18" s="770"/>
      <c r="C18" s="706" t="s">
        <v>848</v>
      </c>
      <c r="D18" s="710"/>
      <c r="E18" s="165" t="s">
        <v>557</v>
      </c>
      <c r="F18" s="156" t="s">
        <v>67</v>
      </c>
      <c r="G18" s="137">
        <v>18</v>
      </c>
      <c r="H18" s="154" t="str">
        <f>IF(G18&lt;=G14,"OK","Personu skaits, kuras veic darba praktizēšanu pašvaldībās ar stipendiju, ir lielāks kā pilngadīgu darbspējīgu personu skaits!")</f>
        <v>OK</v>
      </c>
      <c r="I18" s="154" t="str">
        <f>IF(G18&gt;='3.1'!G18,"OK","Pārbaudiet personu sadalījumu ģimenēm saistītajās tabulās!")</f>
        <v>OK</v>
      </c>
    </row>
    <row r="19" spans="1:9" s="1" customFormat="1" ht="23.25" customHeight="1">
      <c r="A19" s="778"/>
      <c r="B19" s="770"/>
      <c r="C19" s="706" t="s">
        <v>158</v>
      </c>
      <c r="D19" s="710"/>
      <c r="E19" s="160" t="s">
        <v>558</v>
      </c>
      <c r="F19" s="156" t="s">
        <v>67</v>
      </c>
      <c r="G19" s="137">
        <v>251</v>
      </c>
      <c r="H19" s="154" t="str">
        <f>IF(G19&gt;='3.1'!G19,"OK","Pārbaudiet personu sadalījumu ģimenēm saistītajās tabulās!")</f>
        <v>OK</v>
      </c>
      <c r="I19" s="5"/>
    </row>
    <row r="20" spans="1:9" s="1" customFormat="1" ht="13.5" thickBot="1">
      <c r="A20" s="779"/>
      <c r="B20" s="780"/>
      <c r="C20" s="708" t="s">
        <v>160</v>
      </c>
      <c r="D20" s="768"/>
      <c r="E20" s="167" t="s">
        <v>589</v>
      </c>
      <c r="F20" s="166" t="s">
        <v>67</v>
      </c>
      <c r="G20" s="138">
        <v>852</v>
      </c>
      <c r="H20" s="154" t="str">
        <f>IF(G20&gt;='3.1'!G20,"OK","Pārbaudiet personu sadalījumu ģimenēm saistītajās tabulās!")</f>
        <v>OK</v>
      </c>
      <c r="I20" s="5"/>
    </row>
    <row r="23" spans="13:14" ht="12.75">
      <c r="M23" s="84"/>
      <c r="N23" s="84"/>
    </row>
    <row r="24" spans="1:14" ht="12.75">
      <c r="A24" s="265"/>
      <c r="M24" s="200"/>
      <c r="N24" s="84"/>
    </row>
    <row r="25" spans="1:14" ht="12.75">
      <c r="A25" s="265"/>
      <c r="M25" s="200"/>
      <c r="N25" s="84"/>
    </row>
    <row r="26" spans="1:14" ht="12.75">
      <c r="A26" s="265"/>
      <c r="M26" s="200"/>
      <c r="N26" s="84"/>
    </row>
    <row r="27" spans="1:14" ht="12.75">
      <c r="A27" s="265"/>
      <c r="M27" s="200"/>
      <c r="N27" s="84"/>
    </row>
    <row r="28" spans="13:14" ht="12.75">
      <c r="M28" s="84"/>
      <c r="N28" s="84"/>
    </row>
    <row r="29" spans="13:14" ht="12.75">
      <c r="M29" s="84"/>
      <c r="N29" s="84"/>
    </row>
    <row r="34" ht="13.5" customHeight="1"/>
    <row r="35" ht="21.75" customHeight="1"/>
    <row r="38" ht="35.25" customHeight="1"/>
    <row r="39" ht="39" customHeight="1"/>
    <row r="40" ht="22.5" customHeight="1"/>
  </sheetData>
  <sheetProtection password="CE88" sheet="1" objects="1" scenarios="1"/>
  <mergeCells count="20">
    <mergeCell ref="A2:D2"/>
    <mergeCell ref="C10:C11"/>
    <mergeCell ref="B8:B11"/>
    <mergeCell ref="A1:G1"/>
    <mergeCell ref="B6:D6"/>
    <mergeCell ref="A3:A20"/>
    <mergeCell ref="B12:B20"/>
    <mergeCell ref="B3:D3"/>
    <mergeCell ref="B4:B5"/>
    <mergeCell ref="C4:D4"/>
    <mergeCell ref="C18:D18"/>
    <mergeCell ref="C19:D19"/>
    <mergeCell ref="C20:D20"/>
    <mergeCell ref="C15:C17"/>
    <mergeCell ref="C5:D5"/>
    <mergeCell ref="B7:D7"/>
    <mergeCell ref="C8:C9"/>
    <mergeCell ref="C12:D12"/>
    <mergeCell ref="C13:D13"/>
    <mergeCell ref="C14:D14"/>
  </mergeCells>
  <printOptions/>
  <pageMargins left="0.75" right="0.75" top="0.7" bottom="1" header="0.5" footer="0.5"/>
  <pageSetup horizontalDpi="1200" verticalDpi="1200" orientation="portrait" paperSize="9" r:id="rId1"/>
  <headerFooter alignWithMargins="0">
    <oddFooter>&amp;R23</oddFooter>
  </headerFooter>
</worksheet>
</file>

<file path=xl/worksheets/sheet18.xml><?xml version="1.0" encoding="utf-8"?>
<worksheet xmlns="http://schemas.openxmlformats.org/spreadsheetml/2006/main" xmlns:r="http://schemas.openxmlformats.org/officeDocument/2006/relationships">
  <dimension ref="A1:L50"/>
  <sheetViews>
    <sheetView zoomScalePageLayoutView="0" workbookViewId="0" topLeftCell="A1">
      <selection activeCell="J14" sqref="J14"/>
    </sheetView>
  </sheetViews>
  <sheetFormatPr defaultColWidth="9.140625" defaultRowHeight="12.75"/>
  <cols>
    <col min="1" max="1" width="14.8515625" style="307" customWidth="1"/>
    <col min="2" max="3" width="9.140625" style="307" customWidth="1"/>
    <col min="4" max="4" width="21.140625" style="307" customWidth="1"/>
    <col min="5" max="5" width="9.421875" style="307" customWidth="1"/>
    <col min="6" max="6" width="20.8515625" style="307" customWidth="1"/>
    <col min="7" max="16384" width="9.140625" style="307" customWidth="1"/>
  </cols>
  <sheetData>
    <row r="1" spans="1:7" ht="16.5" thickBot="1">
      <c r="A1" s="782" t="s">
        <v>1063</v>
      </c>
      <c r="B1" s="783"/>
      <c r="C1" s="783"/>
      <c r="D1" s="783"/>
      <c r="E1" s="783"/>
      <c r="F1" s="783"/>
      <c r="G1" s="783"/>
    </row>
    <row r="2" spans="1:12" ht="15" thickBot="1">
      <c r="A2" s="562" t="s">
        <v>63</v>
      </c>
      <c r="B2" s="563"/>
      <c r="C2" s="563"/>
      <c r="D2" s="781"/>
      <c r="E2" s="310" t="s">
        <v>60</v>
      </c>
      <c r="F2" s="311" t="s">
        <v>61</v>
      </c>
      <c r="G2" s="312" t="s">
        <v>62</v>
      </c>
      <c r="L2" s="379"/>
    </row>
    <row r="3" spans="1:12" ht="13.5" thickBot="1">
      <c r="A3" s="784" t="s">
        <v>1060</v>
      </c>
      <c r="B3" s="788" t="s">
        <v>215</v>
      </c>
      <c r="C3" s="788"/>
      <c r="D3" s="788"/>
      <c r="E3" s="313" t="s">
        <v>540</v>
      </c>
      <c r="F3" s="314" t="s">
        <v>931</v>
      </c>
      <c r="G3" s="377">
        <f>'3.1.3'!F3+'3.1.4'!G3+'3.1.5'!G3</f>
        <v>305709.25</v>
      </c>
      <c r="H3" s="317" t="str">
        <f>IF(G3=G4+G5,"OK","Pārbaudiet ienākumu testētos pabalstus naudā un natūrā visās tabulās")</f>
        <v>OK</v>
      </c>
      <c r="I3" s="317" t="str">
        <f>IF(G3=SUM('3.1.1_3.1.2'!H3,'3.1.1_3.1.2'!H6,'3.1.1_3.1.2'!H9,'3.1.1_3.1.2'!H12),"OK","Pārbaudiet izlietoto līdzekļu sadalījumu pabalstu saņēmējiem, kuri raksturoti pēc Mājsaimniecība sastāva (tab.3.1.1.)!")</f>
        <v>OK</v>
      </c>
      <c r="J3" s="317" t="str">
        <f>IF(G3='3.1.1_3.1.2'!H18+'3.1.1_3.1.2'!H56,"OK","Pārbaudiet izlietoto līdzekļu sadalījumu  pabalstu saņēmējiem, kuri raksturoti pēc Mājsaimniecība ienākumu līmeņa (tab.3.1.2)!")</f>
        <v>OK</v>
      </c>
      <c r="K3" s="317" t="str">
        <f>IF(G3='3.1.3'!F3+'3.1.4'!G3+'3.1.5'!G3,"OK","Pārbaudiet saistīto tabulu izlietoto līdzekļu sadalījumu!")</f>
        <v>OK</v>
      </c>
      <c r="L3" s="379"/>
    </row>
    <row r="4" spans="1:12" ht="13.5" thickBot="1">
      <c r="A4" s="785"/>
      <c r="B4" s="573" t="s">
        <v>74</v>
      </c>
      <c r="C4" s="553" t="s">
        <v>216</v>
      </c>
      <c r="D4" s="553"/>
      <c r="E4" s="270" t="s">
        <v>559</v>
      </c>
      <c r="F4" s="309" t="s">
        <v>931</v>
      </c>
      <c r="G4" s="377">
        <f>'3.1.3'!F4+'3.1.4'!G4+'3.1.5'!G4</f>
        <v>161428.25999999998</v>
      </c>
      <c r="L4" s="379"/>
    </row>
    <row r="5" spans="1:12" ht="12.75">
      <c r="A5" s="785"/>
      <c r="B5" s="573"/>
      <c r="C5" s="535" t="s">
        <v>217</v>
      </c>
      <c r="D5" s="535"/>
      <c r="E5" s="270" t="s">
        <v>560</v>
      </c>
      <c r="F5" s="277" t="s">
        <v>931</v>
      </c>
      <c r="G5" s="377">
        <f>'3.1.3'!F5+'3.1.4'!G5+'3.1.5'!G5</f>
        <v>144280.99</v>
      </c>
      <c r="L5" s="379"/>
    </row>
    <row r="6" spans="1:12" ht="12.75">
      <c r="A6" s="785"/>
      <c r="B6" s="573" t="s">
        <v>979</v>
      </c>
      <c r="C6" s="535"/>
      <c r="D6" s="535"/>
      <c r="E6" s="224" t="s">
        <v>541</v>
      </c>
      <c r="F6" s="225" t="s">
        <v>953</v>
      </c>
      <c r="G6" s="267">
        <v>1138</v>
      </c>
      <c r="H6" s="317" t="str">
        <f>IF(G6=SUM('3.1.1_3.1.2'!H4,'3.1.1_3.1.2'!H7,'3.1.1_3.1.2'!H10,'3.1.1_3.1.2'!H13),"OK","Pārbaudiet mājsaimniecību sadalījumu pabalstu saņēmējiem, kuri raksturoti pēc Mājsaimniecība sastāva (tab.3.1.1.)!")</f>
        <v>OK</v>
      </c>
      <c r="I6" s="317" t="str">
        <f>IF(G6='3.1.1_3.1.2'!H19+'3.1.1_3.1.2'!H57,"OK","Pārbaudiet mājsaimniecību sadalījumu pabalstu saņēmējiem, kuri raksturoti pēc Mājsaimniecība ienākumu līmeņa (tab.3.1.2.)!")</f>
        <v>OK</v>
      </c>
      <c r="L6" s="379"/>
    </row>
    <row r="7" spans="1:12" ht="12.75">
      <c r="A7" s="785"/>
      <c r="B7" s="553" t="s">
        <v>949</v>
      </c>
      <c r="C7" s="553"/>
      <c r="D7" s="553"/>
      <c r="E7" s="271" t="s">
        <v>561</v>
      </c>
      <c r="F7" s="225" t="s">
        <v>67</v>
      </c>
      <c r="G7" s="226">
        <f>G12+G14+G19+G20</f>
        <v>1864</v>
      </c>
      <c r="H7" s="317" t="str">
        <f>IF(G7=SUM(G8,G9,G10,G11),"OK","Pārbaudiet klientu sadalījumu pa dzimumiem!")</f>
        <v>OK</v>
      </c>
      <c r="I7" s="317" t="str">
        <f>IF(G7=SUM('3.1.1_3.1.2'!H5,'3.1.1_3.1.2'!H8,'3.1.1_3.1.2'!H11,'3.1.1_3.1.2'!H14),"OK","Pārbaudiet personu mājsaimniecībās sadalījumu pabalstu saņēmējiem, kuri raksturoti pēc Mājsaimniecība sastāva (tab.3.1.1.)!")</f>
        <v>OK</v>
      </c>
      <c r="J7" s="317" t="str">
        <f>IF(G7='3.1.1_3.1.2'!H22+'3.1.1_3.1.2'!H58,"OK","Pārbaudiet personu mājsaimniecībās sadalījumu pabalstu saņēmējiem, kuri raksturoti pēc ienākuma līmeņa (tab.3.1.2.)!")</f>
        <v>OK</v>
      </c>
      <c r="L7" s="379"/>
    </row>
    <row r="8" spans="1:12" ht="12.75">
      <c r="A8" s="785"/>
      <c r="B8" s="571" t="s">
        <v>105</v>
      </c>
      <c r="C8" s="571" t="s">
        <v>140</v>
      </c>
      <c r="D8" s="225" t="s">
        <v>218</v>
      </c>
      <c r="E8" s="272" t="s">
        <v>562</v>
      </c>
      <c r="F8" s="225" t="s">
        <v>67</v>
      </c>
      <c r="G8" s="267">
        <v>187</v>
      </c>
      <c r="L8" s="379"/>
    </row>
    <row r="9" spans="1:7" ht="12.75">
      <c r="A9" s="785"/>
      <c r="B9" s="571"/>
      <c r="C9" s="571"/>
      <c r="D9" s="225" t="s">
        <v>143</v>
      </c>
      <c r="E9" s="272" t="s">
        <v>563</v>
      </c>
      <c r="F9" s="225" t="s">
        <v>67</v>
      </c>
      <c r="G9" s="267">
        <v>191</v>
      </c>
    </row>
    <row r="10" spans="1:8" ht="12.75">
      <c r="A10" s="786"/>
      <c r="B10" s="535"/>
      <c r="C10" s="573" t="s">
        <v>141</v>
      </c>
      <c r="D10" s="225" t="s">
        <v>218</v>
      </c>
      <c r="E10" s="272" t="s">
        <v>564</v>
      </c>
      <c r="F10" s="225" t="s">
        <v>67</v>
      </c>
      <c r="G10" s="267">
        <v>596</v>
      </c>
      <c r="H10" s="317" t="str">
        <f>IF(G10+G11=G14+G19+G20,"OK","Pārbaudiet pilngadīgu personu sadalījumu pēc darbspējas un dzimumiem!")</f>
        <v>OK</v>
      </c>
    </row>
    <row r="11" spans="1:7" ht="12.75">
      <c r="A11" s="786"/>
      <c r="B11" s="535"/>
      <c r="C11" s="573"/>
      <c r="D11" s="225" t="s">
        <v>143</v>
      </c>
      <c r="E11" s="272" t="s">
        <v>565</v>
      </c>
      <c r="F11" s="225" t="s">
        <v>67</v>
      </c>
      <c r="G11" s="267">
        <v>890</v>
      </c>
    </row>
    <row r="12" spans="1:8" ht="12.75">
      <c r="A12" s="786"/>
      <c r="B12" s="789" t="s">
        <v>105</v>
      </c>
      <c r="C12" s="553" t="s">
        <v>140</v>
      </c>
      <c r="D12" s="535"/>
      <c r="E12" s="271" t="s">
        <v>566</v>
      </c>
      <c r="F12" s="225" t="s">
        <v>67</v>
      </c>
      <c r="G12" s="267">
        <v>378</v>
      </c>
      <c r="H12" s="317" t="str">
        <f>IF(G12=G8+'3.1'!G9,"OK","Pārbaudiet klientu sadalījumu pa dzimumiem!")</f>
        <v>OK</v>
      </c>
    </row>
    <row r="13" spans="1:8" ht="12.75">
      <c r="A13" s="786"/>
      <c r="B13" s="790"/>
      <c r="C13" s="553" t="s">
        <v>219</v>
      </c>
      <c r="D13" s="535"/>
      <c r="E13" s="273" t="s">
        <v>567</v>
      </c>
      <c r="F13" s="225" t="s">
        <v>67</v>
      </c>
      <c r="G13" s="267">
        <v>18</v>
      </c>
      <c r="H13" s="317" t="str">
        <f>IF(G13&lt;=G12,"OK","Bērnu ar invaliditāti skaits pārsniedz kopējo bērnu skaitu!")</f>
        <v>OK</v>
      </c>
    </row>
    <row r="14" spans="1:7" ht="12.75">
      <c r="A14" s="786"/>
      <c r="B14" s="790"/>
      <c r="C14" s="553" t="s">
        <v>220</v>
      </c>
      <c r="D14" s="535"/>
      <c r="E14" s="271" t="s">
        <v>568</v>
      </c>
      <c r="F14" s="225" t="s">
        <v>67</v>
      </c>
      <c r="G14" s="226">
        <f>G15+G16+G17</f>
        <v>390</v>
      </c>
    </row>
    <row r="15" spans="1:7" ht="12.75">
      <c r="A15" s="786"/>
      <c r="B15" s="790"/>
      <c r="C15" s="789" t="s">
        <v>105</v>
      </c>
      <c r="D15" s="225" t="s">
        <v>221</v>
      </c>
      <c r="E15" s="273" t="s">
        <v>569</v>
      </c>
      <c r="F15" s="225" t="s">
        <v>67</v>
      </c>
      <c r="G15" s="267">
        <v>60</v>
      </c>
    </row>
    <row r="16" spans="1:7" ht="12.75">
      <c r="A16" s="786"/>
      <c r="B16" s="790"/>
      <c r="C16" s="790"/>
      <c r="D16" s="225" t="s">
        <v>222</v>
      </c>
      <c r="E16" s="273" t="s">
        <v>570</v>
      </c>
      <c r="F16" s="225" t="s">
        <v>67</v>
      </c>
      <c r="G16" s="267">
        <v>313</v>
      </c>
    </row>
    <row r="17" spans="1:7" ht="25.5">
      <c r="A17" s="786"/>
      <c r="B17" s="790"/>
      <c r="C17" s="792"/>
      <c r="D17" s="225" t="s">
        <v>223</v>
      </c>
      <c r="E17" s="273" t="s">
        <v>571</v>
      </c>
      <c r="F17" s="225" t="s">
        <v>67</v>
      </c>
      <c r="G17" s="267">
        <v>17</v>
      </c>
    </row>
    <row r="18" spans="1:8" ht="12.75">
      <c r="A18" s="786"/>
      <c r="B18" s="790"/>
      <c r="C18" s="553" t="s">
        <v>848</v>
      </c>
      <c r="D18" s="535"/>
      <c r="E18" s="322" t="s">
        <v>572</v>
      </c>
      <c r="F18" s="225" t="s">
        <v>67</v>
      </c>
      <c r="G18" s="267">
        <v>18</v>
      </c>
      <c r="H18" s="317" t="str">
        <f>IF(G18&lt;=G14,"OK","Personu skaits, kuras veic darba praktizēšanu pašvaldībās ar stipendiju, ir lielāks kā pilngadīgu darbspējīgu personu skaits!")</f>
        <v>OK</v>
      </c>
    </row>
    <row r="19" spans="1:7" ht="12.75">
      <c r="A19" s="786"/>
      <c r="B19" s="790"/>
      <c r="C19" s="553" t="s">
        <v>158</v>
      </c>
      <c r="D19" s="535"/>
      <c r="E19" s="271" t="s">
        <v>573</v>
      </c>
      <c r="F19" s="225" t="s">
        <v>67</v>
      </c>
      <c r="G19" s="267">
        <v>250</v>
      </c>
    </row>
    <row r="20" spans="1:7" ht="13.5" thickBot="1">
      <c r="A20" s="787"/>
      <c r="B20" s="791"/>
      <c r="C20" s="793" t="s">
        <v>160</v>
      </c>
      <c r="D20" s="543"/>
      <c r="E20" s="376" t="s">
        <v>588</v>
      </c>
      <c r="F20" s="279" t="s">
        <v>67</v>
      </c>
      <c r="G20" s="281">
        <v>846</v>
      </c>
    </row>
    <row r="22" spans="1:7" ht="16.5" thickBot="1">
      <c r="A22" s="782" t="s">
        <v>1317</v>
      </c>
      <c r="B22" s="783"/>
      <c r="C22" s="783"/>
      <c r="D22" s="783"/>
      <c r="E22" s="783"/>
      <c r="F22" s="783"/>
      <c r="G22" s="783"/>
    </row>
    <row r="23" spans="1:7" ht="15" thickBot="1">
      <c r="A23" s="562" t="s">
        <v>63</v>
      </c>
      <c r="B23" s="563"/>
      <c r="C23" s="563"/>
      <c r="D23" s="781"/>
      <c r="E23" s="310" t="s">
        <v>60</v>
      </c>
      <c r="F23" s="311" t="s">
        <v>61</v>
      </c>
      <c r="G23" s="312" t="s">
        <v>62</v>
      </c>
    </row>
    <row r="24" spans="1:11" ht="13.5" thickBot="1">
      <c r="A24" s="784" t="s">
        <v>1061</v>
      </c>
      <c r="B24" s="788" t="s">
        <v>215</v>
      </c>
      <c r="C24" s="788"/>
      <c r="D24" s="788"/>
      <c r="E24" s="313" t="s">
        <v>1112</v>
      </c>
      <c r="F24" s="314" t="s">
        <v>931</v>
      </c>
      <c r="G24" s="377">
        <f>'3.1.3'!F3+'3.1.4'!G3</f>
        <v>270219.51</v>
      </c>
      <c r="H24" s="317" t="str">
        <f>IF(G24=G25+G26,"OK","Pārbaudiet ienākumu testētos pabalstus naudā un natūrā visās tabulās")</f>
        <v>OK</v>
      </c>
      <c r="I24" s="317" t="str">
        <f>IF(G24=SUM('3.1.3'!F3,'3.1.4'!G3),"OK","Pārbaudiet izlietoto līdzekļus  (tab.3.1.3., tab.3.1.4.)!")</f>
        <v>OK</v>
      </c>
      <c r="J24" s="317"/>
      <c r="K24" s="317"/>
    </row>
    <row r="25" spans="1:7" ht="13.5" thickBot="1">
      <c r="A25" s="785"/>
      <c r="B25" s="573" t="s">
        <v>74</v>
      </c>
      <c r="C25" s="553" t="s">
        <v>216</v>
      </c>
      <c r="D25" s="553"/>
      <c r="E25" s="270" t="s">
        <v>1113</v>
      </c>
      <c r="F25" s="309" t="s">
        <v>931</v>
      </c>
      <c r="G25" s="377">
        <f>'3.1.3'!F4+'3.1.4'!G4</f>
        <v>139453.41999999998</v>
      </c>
    </row>
    <row r="26" spans="1:7" ht="12.75">
      <c r="A26" s="785"/>
      <c r="B26" s="573"/>
      <c r="C26" s="535" t="s">
        <v>217</v>
      </c>
      <c r="D26" s="535"/>
      <c r="E26" s="270" t="s">
        <v>1114</v>
      </c>
      <c r="F26" s="277" t="s">
        <v>931</v>
      </c>
      <c r="G26" s="377">
        <f>'3.1.3'!F5+'3.1.4'!G5</f>
        <v>130766.09</v>
      </c>
    </row>
    <row r="27" spans="1:9" ht="12.75">
      <c r="A27" s="785"/>
      <c r="B27" s="573" t="s">
        <v>979</v>
      </c>
      <c r="C27" s="535"/>
      <c r="D27" s="535"/>
      <c r="E27" s="224">
        <v>310102</v>
      </c>
      <c r="F27" s="225" t="s">
        <v>953</v>
      </c>
      <c r="G27" s="267">
        <v>1034</v>
      </c>
      <c r="H27" s="317" t="str">
        <f>IF(AND(G27&lt;='3.1.3'!F6+'3.1.4'!G9,G27&gt;=MAX('3.1.3'!F6,'3.1.4'!G9)),"OK","Pārbaudiet mājsaimniecību skaitu (tab.3.1.3., tab.3.1.4.)!")</f>
        <v>OK</v>
      </c>
      <c r="I27" s="317"/>
    </row>
    <row r="28" spans="1:9" ht="12.75">
      <c r="A28" s="785"/>
      <c r="B28" s="553" t="s">
        <v>949</v>
      </c>
      <c r="C28" s="553"/>
      <c r="D28" s="553"/>
      <c r="E28" s="271">
        <v>310103</v>
      </c>
      <c r="F28" s="225" t="s">
        <v>67</v>
      </c>
      <c r="G28" s="226">
        <f>G33+G35+G40+G41</f>
        <v>1425</v>
      </c>
      <c r="H28" s="317" t="str">
        <f>IF(G28=SUM(G29,G30,G31,G32),"OK","Pārbaudiet klientu sadalījumu pa dzimumiem!")</f>
        <v>OK</v>
      </c>
      <c r="I28" s="317" t="str">
        <f>IF(AND(G28&lt;='3.1.3'!F10+'3.1.4'!G10,G28&gt;=MAX('3.1.3'!F10,'3.1.4'!G10)),"OK","Pārbaudiet personu skaitu  (tab.3.1.3., tab.3.1.4.)!")</f>
        <v>OK</v>
      </c>
    </row>
    <row r="29" spans="1:7" ht="12.75">
      <c r="A29" s="785"/>
      <c r="B29" s="571" t="s">
        <v>105</v>
      </c>
      <c r="C29" s="571" t="s">
        <v>140</v>
      </c>
      <c r="D29" s="225" t="s">
        <v>218</v>
      </c>
      <c r="E29" s="272" t="s">
        <v>1115</v>
      </c>
      <c r="F29" s="225" t="s">
        <v>67</v>
      </c>
      <c r="G29" s="267">
        <v>99</v>
      </c>
    </row>
    <row r="30" spans="1:7" ht="12.75">
      <c r="A30" s="785"/>
      <c r="B30" s="571"/>
      <c r="C30" s="571"/>
      <c r="D30" s="225" t="s">
        <v>143</v>
      </c>
      <c r="E30" s="272" t="s">
        <v>1116</v>
      </c>
      <c r="F30" s="225" t="s">
        <v>67</v>
      </c>
      <c r="G30" s="267">
        <v>97</v>
      </c>
    </row>
    <row r="31" spans="1:8" ht="12.75">
      <c r="A31" s="786"/>
      <c r="B31" s="535"/>
      <c r="C31" s="573" t="s">
        <v>141</v>
      </c>
      <c r="D31" s="225" t="s">
        <v>218</v>
      </c>
      <c r="E31" s="272">
        <v>31010321</v>
      </c>
      <c r="F31" s="225" t="s">
        <v>67</v>
      </c>
      <c r="G31" s="267">
        <v>481</v>
      </c>
      <c r="H31" s="317" t="str">
        <f>IF(G31+G32=G35+G40+G41,"OK","Pārbaudiet pilngadīgu personu sadalījumu pēc darbspējas un dzimumiem!")</f>
        <v>OK</v>
      </c>
    </row>
    <row r="32" spans="1:7" ht="12.75">
      <c r="A32" s="786"/>
      <c r="B32" s="535"/>
      <c r="C32" s="573"/>
      <c r="D32" s="225" t="s">
        <v>143</v>
      </c>
      <c r="E32" s="272">
        <v>31010322</v>
      </c>
      <c r="F32" s="225" t="s">
        <v>67</v>
      </c>
      <c r="G32" s="267">
        <v>748</v>
      </c>
    </row>
    <row r="33" spans="1:8" ht="12.75">
      <c r="A33" s="786"/>
      <c r="B33" s="789" t="s">
        <v>105</v>
      </c>
      <c r="C33" s="553" t="s">
        <v>140</v>
      </c>
      <c r="D33" s="535"/>
      <c r="E33" s="271">
        <v>310104</v>
      </c>
      <c r="F33" s="225" t="s">
        <v>67</v>
      </c>
      <c r="G33" s="267">
        <v>196</v>
      </c>
      <c r="H33" s="317" t="str">
        <f>IF(G33=G29+'3.1'!G30,"OK","Pārbaudiet klientu sadalījumu pa dzimumiem!")</f>
        <v>OK</v>
      </c>
    </row>
    <row r="34" spans="1:8" ht="12.75">
      <c r="A34" s="786"/>
      <c r="B34" s="790"/>
      <c r="C34" s="553" t="s">
        <v>219</v>
      </c>
      <c r="D34" s="535"/>
      <c r="E34" s="273">
        <v>3101041</v>
      </c>
      <c r="F34" s="225" t="s">
        <v>67</v>
      </c>
      <c r="G34" s="267">
        <v>14</v>
      </c>
      <c r="H34" s="317" t="str">
        <f>IF(G34&lt;=G33,"OK","Bērnu ar invaliditāti skaits pārsniedz kopējo bērnu skaitu!")</f>
        <v>OK</v>
      </c>
    </row>
    <row r="35" spans="1:7" ht="12.75">
      <c r="A35" s="786"/>
      <c r="B35" s="790"/>
      <c r="C35" s="553" t="s">
        <v>220</v>
      </c>
      <c r="D35" s="535"/>
      <c r="E35" s="271">
        <v>310105</v>
      </c>
      <c r="F35" s="225" t="s">
        <v>67</v>
      </c>
      <c r="G35" s="226">
        <f>G36+G37+G38</f>
        <v>253</v>
      </c>
    </row>
    <row r="36" spans="1:7" ht="12.75">
      <c r="A36" s="786"/>
      <c r="B36" s="790"/>
      <c r="C36" s="789" t="s">
        <v>105</v>
      </c>
      <c r="D36" s="225" t="s">
        <v>221</v>
      </c>
      <c r="E36" s="273">
        <v>3101051</v>
      </c>
      <c r="F36" s="225" t="s">
        <v>67</v>
      </c>
      <c r="G36" s="267">
        <v>57</v>
      </c>
    </row>
    <row r="37" spans="1:7" ht="12.75">
      <c r="A37" s="786"/>
      <c r="B37" s="790"/>
      <c r="C37" s="790"/>
      <c r="D37" s="225" t="s">
        <v>222</v>
      </c>
      <c r="E37" s="273">
        <v>3101052</v>
      </c>
      <c r="F37" s="225" t="s">
        <v>67</v>
      </c>
      <c r="G37" s="267">
        <v>179</v>
      </c>
    </row>
    <row r="38" spans="1:7" ht="25.5">
      <c r="A38" s="786"/>
      <c r="B38" s="790"/>
      <c r="C38" s="792"/>
      <c r="D38" s="225" t="s">
        <v>223</v>
      </c>
      <c r="E38" s="273">
        <v>3101053</v>
      </c>
      <c r="F38" s="225" t="s">
        <v>67</v>
      </c>
      <c r="G38" s="267">
        <v>17</v>
      </c>
    </row>
    <row r="39" spans="1:8" ht="12.75">
      <c r="A39" s="786"/>
      <c r="B39" s="790"/>
      <c r="C39" s="553" t="s">
        <v>848</v>
      </c>
      <c r="D39" s="535"/>
      <c r="E39" s="322">
        <v>310106</v>
      </c>
      <c r="F39" s="225" t="s">
        <v>67</v>
      </c>
      <c r="G39" s="267">
        <v>18</v>
      </c>
      <c r="H39" s="317" t="str">
        <f>IF(G39&lt;=G35,"OK","Personu skaits, kuras veic darba praktizēšanu pašvaldībās ar stipendiju, ir lielāks kā pilngadīgu darbspējīgu personu skaits!")</f>
        <v>OK</v>
      </c>
    </row>
    <row r="40" spans="1:7" ht="12.75">
      <c r="A40" s="786"/>
      <c r="B40" s="790"/>
      <c r="C40" s="553" t="s">
        <v>158</v>
      </c>
      <c r="D40" s="535"/>
      <c r="E40" s="271">
        <v>310107</v>
      </c>
      <c r="F40" s="225" t="s">
        <v>67</v>
      </c>
      <c r="G40" s="267">
        <v>243</v>
      </c>
    </row>
    <row r="41" spans="1:7" ht="12.75">
      <c r="A41" s="786"/>
      <c r="B41" s="790"/>
      <c r="C41" s="794" t="s">
        <v>160</v>
      </c>
      <c r="D41" s="795"/>
      <c r="E41" s="294">
        <v>310108</v>
      </c>
      <c r="F41" s="293" t="s">
        <v>67</v>
      </c>
      <c r="G41" s="268">
        <v>733</v>
      </c>
    </row>
    <row r="42" spans="1:10" ht="12.75" customHeight="1">
      <c r="A42" s="796" t="s">
        <v>1040</v>
      </c>
      <c r="B42" s="796"/>
      <c r="C42" s="796"/>
      <c r="D42" s="796"/>
      <c r="E42" s="294">
        <v>310109</v>
      </c>
      <c r="F42" s="225" t="s">
        <v>931</v>
      </c>
      <c r="G42" s="268">
        <f>ROUND(IF(G28=0,0,G24/G28),2)</f>
        <v>189.63</v>
      </c>
      <c r="J42" s="228"/>
    </row>
    <row r="43" spans="1:7" ht="27.75" customHeight="1">
      <c r="A43" s="796" t="s">
        <v>1041</v>
      </c>
      <c r="B43" s="796"/>
      <c r="C43" s="796"/>
      <c r="D43" s="796"/>
      <c r="E43" s="294" t="s">
        <v>1117</v>
      </c>
      <c r="F43" s="225" t="s">
        <v>931</v>
      </c>
      <c r="G43" s="268">
        <v>231.42</v>
      </c>
    </row>
    <row r="44" spans="1:7" ht="12.75" customHeight="1">
      <c r="A44" s="796" t="s">
        <v>1042</v>
      </c>
      <c r="B44" s="796"/>
      <c r="C44" s="796"/>
      <c r="D44" s="796"/>
      <c r="E44" s="294" t="s">
        <v>1118</v>
      </c>
      <c r="F44" s="225" t="s">
        <v>931</v>
      </c>
      <c r="G44" s="268">
        <v>340.72</v>
      </c>
    </row>
    <row r="45" spans="1:7" ht="12.75" customHeight="1">
      <c r="A45" s="796" t="s">
        <v>1043</v>
      </c>
      <c r="B45" s="796"/>
      <c r="C45" s="796"/>
      <c r="D45" s="796"/>
      <c r="E45" s="294" t="s">
        <v>1119</v>
      </c>
      <c r="F45" s="225" t="s">
        <v>931</v>
      </c>
      <c r="G45" s="268">
        <f>ROUND(IF(G48=0,0,G42/G48),2)</f>
        <v>66.54</v>
      </c>
    </row>
    <row r="46" spans="1:7" ht="24.75" customHeight="1">
      <c r="A46" s="796" t="s">
        <v>1044</v>
      </c>
      <c r="B46" s="796"/>
      <c r="C46" s="796"/>
      <c r="D46" s="796"/>
      <c r="E46" s="294" t="s">
        <v>1120</v>
      </c>
      <c r="F46" s="225" t="s">
        <v>931</v>
      </c>
      <c r="G46" s="268">
        <f>ROUND(IF(G49=0,0,G43/G49),2)</f>
        <v>85.39</v>
      </c>
    </row>
    <row r="47" spans="1:7" ht="25.5" customHeight="1">
      <c r="A47" s="796" t="s">
        <v>1045</v>
      </c>
      <c r="B47" s="796"/>
      <c r="C47" s="796"/>
      <c r="D47" s="796"/>
      <c r="E47" s="294" t="s">
        <v>1121</v>
      </c>
      <c r="F47" s="225" t="s">
        <v>931</v>
      </c>
      <c r="G47" s="268">
        <f>ROUND(IF(G50=0,0,G44/G50),2)</f>
        <v>112.82</v>
      </c>
    </row>
    <row r="48" spans="1:7" ht="12.75" customHeight="1">
      <c r="A48" s="796" t="s">
        <v>1046</v>
      </c>
      <c r="B48" s="796"/>
      <c r="C48" s="796"/>
      <c r="D48" s="796"/>
      <c r="E48" s="294" t="s">
        <v>1122</v>
      </c>
      <c r="F48" s="296" t="s">
        <v>806</v>
      </c>
      <c r="G48" s="268">
        <v>2.85</v>
      </c>
    </row>
    <row r="49" spans="1:7" ht="27" customHeight="1">
      <c r="A49" s="796" t="s">
        <v>1047</v>
      </c>
      <c r="B49" s="796"/>
      <c r="C49" s="796"/>
      <c r="D49" s="796"/>
      <c r="E49" s="294" t="s">
        <v>1123</v>
      </c>
      <c r="F49" s="296" t="s">
        <v>806</v>
      </c>
      <c r="G49" s="268">
        <v>2.71</v>
      </c>
    </row>
    <row r="50" spans="1:7" ht="26.25" customHeight="1">
      <c r="A50" s="796" t="s">
        <v>1048</v>
      </c>
      <c r="B50" s="796"/>
      <c r="C50" s="796"/>
      <c r="D50" s="796"/>
      <c r="E50" s="294" t="s">
        <v>1124</v>
      </c>
      <c r="F50" s="296" t="s">
        <v>806</v>
      </c>
      <c r="G50" s="268">
        <v>3.02</v>
      </c>
    </row>
  </sheetData>
  <sheetProtection password="CE88" sheet="1" objects="1" scenarios="1"/>
  <mergeCells count="49">
    <mergeCell ref="A50:D50"/>
    <mergeCell ref="A49:D49"/>
    <mergeCell ref="A48:D48"/>
    <mergeCell ref="A22:G22"/>
    <mergeCell ref="A44:D44"/>
    <mergeCell ref="A45:D45"/>
    <mergeCell ref="A42:D42"/>
    <mergeCell ref="A43:D43"/>
    <mergeCell ref="A46:D46"/>
    <mergeCell ref="A23:D23"/>
    <mergeCell ref="A24:A41"/>
    <mergeCell ref="B24:D24"/>
    <mergeCell ref="B25:B26"/>
    <mergeCell ref="A47:D47"/>
    <mergeCell ref="C31:C32"/>
    <mergeCell ref="B33:B41"/>
    <mergeCell ref="C33:D33"/>
    <mergeCell ref="C34:D34"/>
    <mergeCell ref="C35:D35"/>
    <mergeCell ref="C36:C38"/>
    <mergeCell ref="C39:D39"/>
    <mergeCell ref="C40:D40"/>
    <mergeCell ref="C41:D41"/>
    <mergeCell ref="C25:D25"/>
    <mergeCell ref="C26:D26"/>
    <mergeCell ref="B27:D27"/>
    <mergeCell ref="B28:D28"/>
    <mergeCell ref="B29:B32"/>
    <mergeCell ref="C29:C30"/>
    <mergeCell ref="C8:C9"/>
    <mergeCell ref="C10:C11"/>
    <mergeCell ref="B12:B20"/>
    <mergeCell ref="C12:D12"/>
    <mergeCell ref="C13:D13"/>
    <mergeCell ref="C14:D14"/>
    <mergeCell ref="C15:C17"/>
    <mergeCell ref="C18:D18"/>
    <mergeCell ref="C19:D19"/>
    <mergeCell ref="C20:D20"/>
    <mergeCell ref="A2:D2"/>
    <mergeCell ref="A1:G1"/>
    <mergeCell ref="A3:A20"/>
    <mergeCell ref="B3:D3"/>
    <mergeCell ref="B4:B5"/>
    <mergeCell ref="C4:D4"/>
    <mergeCell ref="C5:D5"/>
    <mergeCell ref="B6:D6"/>
    <mergeCell ref="B7:D7"/>
    <mergeCell ref="B8:B11"/>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Q83"/>
  <sheetViews>
    <sheetView zoomScalePageLayoutView="0" workbookViewId="0" topLeftCell="A61">
      <selection activeCell="K71" sqref="K71"/>
    </sheetView>
  </sheetViews>
  <sheetFormatPr defaultColWidth="9.140625" defaultRowHeight="12.75"/>
  <cols>
    <col min="1" max="1" width="7.8515625" style="307" customWidth="1"/>
    <col min="2" max="2" width="9.57421875" style="307" customWidth="1"/>
    <col min="3" max="3" width="6.28125" style="307" customWidth="1"/>
    <col min="4" max="4" width="10.140625" style="307" customWidth="1"/>
    <col min="5" max="5" width="14.57421875" style="307" customWidth="1"/>
    <col min="6" max="6" width="12.00390625" style="316" customWidth="1"/>
    <col min="7" max="7" width="12.7109375" style="307" customWidth="1"/>
    <col min="8" max="8" width="13.00390625" style="307" customWidth="1"/>
    <col min="9" max="16384" width="9.140625" style="307" customWidth="1"/>
  </cols>
  <sheetData>
    <row r="1" spans="1:8" ht="30.75" customHeight="1" thickBot="1">
      <c r="A1" s="797" t="s">
        <v>1062</v>
      </c>
      <c r="B1" s="798"/>
      <c r="C1" s="798"/>
      <c r="D1" s="798"/>
      <c r="E1" s="798"/>
      <c r="F1" s="798"/>
      <c r="G1" s="798"/>
      <c r="H1" s="798"/>
    </row>
    <row r="2" spans="1:8" ht="15.75" customHeight="1" thickBot="1">
      <c r="A2" s="528" t="s">
        <v>63</v>
      </c>
      <c r="B2" s="823"/>
      <c r="C2" s="823"/>
      <c r="D2" s="823"/>
      <c r="E2" s="824"/>
      <c r="F2" s="327" t="s">
        <v>60</v>
      </c>
      <c r="G2" s="328" t="s">
        <v>61</v>
      </c>
      <c r="H2" s="329" t="s">
        <v>62</v>
      </c>
    </row>
    <row r="3" spans="1:12" ht="15" customHeight="1">
      <c r="A3" s="531" t="s">
        <v>231</v>
      </c>
      <c r="B3" s="825"/>
      <c r="C3" s="825"/>
      <c r="D3" s="825"/>
      <c r="E3" s="365" t="s">
        <v>138</v>
      </c>
      <c r="F3" s="366">
        <v>31111</v>
      </c>
      <c r="G3" s="367" t="s">
        <v>931</v>
      </c>
      <c r="H3" s="363">
        <v>57455.61</v>
      </c>
      <c r="J3" s="307" t="str">
        <f>IF(AND(SUM('3.1'!G3:G20)&gt;0,SUM('3.1.1_3.1.2'!H3:H14)&gt;0),"OK",IF(AND(SUM('3.1'!G3:G20)=0,SUM('3.1.1_3.1.2'!H3:H14)=0),"OK"," "))</f>
        <v>OK</v>
      </c>
      <c r="L3" s="307" t="str">
        <f>IF(SUM(H3,H6,H9,H12)='3.1'!G3,IF(SUM('3.1.1_3.1.2'!H4,'3.1.1_3.1.2'!H7,'3.1.1_3.1.2'!H10,'3.1.1_3.1.2'!H13)='3.1'!G6,IF(SUM('3.1.1_3.1.2'!H5,'3.1.1_3.1.2'!H8,'3.1.1_3.1.2'!H11,'3.1.1_3.1.2'!H14)='3.1'!G7,"OK","persronas nesakrīt"),"Mājsaimniecība nesakrīt"),"nauda nesakrīt")</f>
        <v>OK</v>
      </c>
    </row>
    <row r="4" spans="1:8" ht="14.25" customHeight="1">
      <c r="A4" s="826"/>
      <c r="B4" s="827"/>
      <c r="C4" s="827"/>
      <c r="D4" s="827"/>
      <c r="E4" s="296" t="s">
        <v>1125</v>
      </c>
      <c r="F4" s="273" t="s">
        <v>574</v>
      </c>
      <c r="G4" s="296" t="s">
        <v>953</v>
      </c>
      <c r="H4" s="267">
        <v>144</v>
      </c>
    </row>
    <row r="5" spans="1:8" ht="14.25" customHeight="1">
      <c r="A5" s="826"/>
      <c r="B5" s="827"/>
      <c r="C5" s="827"/>
      <c r="D5" s="827"/>
      <c r="E5" s="296" t="s">
        <v>950</v>
      </c>
      <c r="F5" s="273" t="s">
        <v>575</v>
      </c>
      <c r="G5" s="296" t="s">
        <v>67</v>
      </c>
      <c r="H5" s="267">
        <v>619</v>
      </c>
    </row>
    <row r="6" spans="1:8" ht="13.5" customHeight="1">
      <c r="A6" s="532" t="s">
        <v>232</v>
      </c>
      <c r="B6" s="827"/>
      <c r="C6" s="827"/>
      <c r="D6" s="827"/>
      <c r="E6" s="296" t="s">
        <v>138</v>
      </c>
      <c r="F6" s="273" t="s">
        <v>576</v>
      </c>
      <c r="G6" s="368" t="s">
        <v>931</v>
      </c>
      <c r="H6" s="267">
        <v>2909.79</v>
      </c>
    </row>
    <row r="7" spans="1:8" ht="15" customHeight="1">
      <c r="A7" s="826"/>
      <c r="B7" s="827"/>
      <c r="C7" s="827"/>
      <c r="D7" s="827"/>
      <c r="E7" s="296" t="s">
        <v>1125</v>
      </c>
      <c r="F7" s="273" t="s">
        <v>577</v>
      </c>
      <c r="G7" s="296" t="s">
        <v>953</v>
      </c>
      <c r="H7" s="267">
        <v>11</v>
      </c>
    </row>
    <row r="8" spans="1:8" ht="14.25" customHeight="1">
      <c r="A8" s="826"/>
      <c r="B8" s="827"/>
      <c r="C8" s="827"/>
      <c r="D8" s="827"/>
      <c r="E8" s="296" t="s">
        <v>950</v>
      </c>
      <c r="F8" s="273" t="s">
        <v>578</v>
      </c>
      <c r="G8" s="296" t="s">
        <v>67</v>
      </c>
      <c r="H8" s="267">
        <v>29</v>
      </c>
    </row>
    <row r="9" spans="1:8" ht="12.75" customHeight="1">
      <c r="A9" s="532" t="s">
        <v>233</v>
      </c>
      <c r="B9" s="827"/>
      <c r="C9" s="827"/>
      <c r="D9" s="827"/>
      <c r="E9" s="296" t="s">
        <v>138</v>
      </c>
      <c r="F9" s="273" t="s">
        <v>579</v>
      </c>
      <c r="G9" s="368" t="s">
        <v>931</v>
      </c>
      <c r="H9" s="267">
        <v>68512.86</v>
      </c>
    </row>
    <row r="10" spans="1:8" ht="13.5" customHeight="1">
      <c r="A10" s="826"/>
      <c r="B10" s="827"/>
      <c r="C10" s="827"/>
      <c r="D10" s="827"/>
      <c r="E10" s="296" t="s">
        <v>1125</v>
      </c>
      <c r="F10" s="273" t="s">
        <v>580</v>
      </c>
      <c r="G10" s="296" t="s">
        <v>953</v>
      </c>
      <c r="H10" s="267">
        <v>150</v>
      </c>
    </row>
    <row r="11" spans="1:8" ht="13.5" customHeight="1">
      <c r="A11" s="826"/>
      <c r="B11" s="827"/>
      <c r="C11" s="827"/>
      <c r="D11" s="827"/>
      <c r="E11" s="296" t="s">
        <v>950</v>
      </c>
      <c r="F11" s="273" t="s">
        <v>581</v>
      </c>
      <c r="G11" s="296" t="s">
        <v>67</v>
      </c>
      <c r="H11" s="267">
        <v>213</v>
      </c>
    </row>
    <row r="12" spans="1:8" ht="14.25" customHeight="1">
      <c r="A12" s="532" t="s">
        <v>234</v>
      </c>
      <c r="B12" s="827"/>
      <c r="C12" s="827"/>
      <c r="D12" s="827"/>
      <c r="E12" s="296" t="s">
        <v>138</v>
      </c>
      <c r="F12" s="273" t="s">
        <v>583</v>
      </c>
      <c r="G12" s="368" t="s">
        <v>931</v>
      </c>
      <c r="H12" s="267">
        <v>176830.99</v>
      </c>
    </row>
    <row r="13" spans="1:8" ht="14.25" customHeight="1">
      <c r="A13" s="826"/>
      <c r="B13" s="827"/>
      <c r="C13" s="827"/>
      <c r="D13" s="827"/>
      <c r="E13" s="296" t="s">
        <v>1125</v>
      </c>
      <c r="F13" s="273" t="s">
        <v>584</v>
      </c>
      <c r="G13" s="296" t="s">
        <v>953</v>
      </c>
      <c r="H13" s="267">
        <v>833</v>
      </c>
    </row>
    <row r="14" spans="1:8" ht="13.5" customHeight="1" thickBot="1">
      <c r="A14" s="828"/>
      <c r="B14" s="829"/>
      <c r="C14" s="829"/>
      <c r="D14" s="829"/>
      <c r="E14" s="369" t="s">
        <v>950</v>
      </c>
      <c r="F14" s="323" t="s">
        <v>582</v>
      </c>
      <c r="G14" s="369" t="s">
        <v>67</v>
      </c>
      <c r="H14" s="281">
        <v>1003</v>
      </c>
    </row>
    <row r="15" ht="9" customHeight="1"/>
    <row r="16" spans="1:17" ht="30" customHeight="1" thickBot="1">
      <c r="A16" s="797" t="s">
        <v>1064</v>
      </c>
      <c r="B16" s="798"/>
      <c r="C16" s="798"/>
      <c r="D16" s="798"/>
      <c r="E16" s="798"/>
      <c r="F16" s="798"/>
      <c r="G16" s="798"/>
      <c r="H16" s="798"/>
      <c r="J16" s="797"/>
      <c r="K16" s="798"/>
      <c r="L16" s="798"/>
      <c r="M16" s="798"/>
      <c r="N16" s="798"/>
      <c r="O16" s="798"/>
      <c r="P16" s="798"/>
      <c r="Q16" s="798"/>
    </row>
    <row r="17" spans="1:12" ht="14.25" customHeight="1" thickBot="1">
      <c r="A17" s="562" t="s">
        <v>63</v>
      </c>
      <c r="B17" s="830"/>
      <c r="C17" s="830"/>
      <c r="D17" s="830"/>
      <c r="E17" s="830"/>
      <c r="F17" s="310" t="s">
        <v>60</v>
      </c>
      <c r="G17" s="311" t="s">
        <v>61</v>
      </c>
      <c r="H17" s="312" t="s">
        <v>62</v>
      </c>
      <c r="L17" s="307" t="str">
        <f>IF(SUM(H18:H55)&gt;0,IF(OR(AND(H18&gt;0,SUM(H19:H55)-H18&gt;0),AND(H18=0,SUM(H19:H55)-H18=0)),"OK","Pārbaudi 3.1.2. tabulu"),"OK")</f>
        <v>OK</v>
      </c>
    </row>
    <row r="18" spans="1:8" ht="12.75" customHeight="1">
      <c r="A18" s="808" t="s">
        <v>988</v>
      </c>
      <c r="B18" s="809"/>
      <c r="C18" s="807" t="s">
        <v>138</v>
      </c>
      <c r="D18" s="807"/>
      <c r="E18" s="807"/>
      <c r="F18" s="269" t="s">
        <v>614</v>
      </c>
      <c r="G18" s="274" t="s">
        <v>931</v>
      </c>
      <c r="H18" s="275">
        <f>H32+H44</f>
        <v>252200.72999999998</v>
      </c>
    </row>
    <row r="19" spans="1:9" ht="25.5">
      <c r="A19" s="810"/>
      <c r="B19" s="811"/>
      <c r="C19" s="573" t="s">
        <v>979</v>
      </c>
      <c r="D19" s="535"/>
      <c r="E19" s="535"/>
      <c r="F19" s="224" t="s">
        <v>615</v>
      </c>
      <c r="G19" s="225" t="s">
        <v>953</v>
      </c>
      <c r="H19" s="267">
        <v>794</v>
      </c>
      <c r="I19" s="317" t="str">
        <f>IF(H19='3.1.1_3.1.2'!H33+'3.1.1_3.1.2'!H45,"OK","Pārbaudiet pārskata gada trūcīgo mājsaimniecību sadalījumu pēc ienākuma līmeņa!")</f>
        <v>OK</v>
      </c>
    </row>
    <row r="20" spans="1:9" ht="30" customHeight="1">
      <c r="A20" s="810"/>
      <c r="B20" s="811"/>
      <c r="C20" s="799" t="s">
        <v>1279</v>
      </c>
      <c r="D20" s="800"/>
      <c r="E20" s="800"/>
      <c r="F20" s="370">
        <v>31204</v>
      </c>
      <c r="G20" s="371" t="s">
        <v>67</v>
      </c>
      <c r="H20" s="267">
        <v>794</v>
      </c>
      <c r="I20" s="317"/>
    </row>
    <row r="21" spans="1:9" ht="27.75" customHeight="1">
      <c r="A21" s="810"/>
      <c r="B21" s="811"/>
      <c r="C21" s="799" t="s">
        <v>1280</v>
      </c>
      <c r="D21" s="800"/>
      <c r="E21" s="800"/>
      <c r="F21" s="370">
        <v>31205</v>
      </c>
      <c r="G21" s="371" t="s">
        <v>67</v>
      </c>
      <c r="H21" s="267">
        <v>406</v>
      </c>
      <c r="I21" s="317"/>
    </row>
    <row r="22" spans="1:9" ht="12.75">
      <c r="A22" s="810"/>
      <c r="B22" s="811"/>
      <c r="C22" s="553" t="s">
        <v>949</v>
      </c>
      <c r="D22" s="553"/>
      <c r="E22" s="553"/>
      <c r="F22" s="271" t="s">
        <v>616</v>
      </c>
      <c r="G22" s="225" t="s">
        <v>67</v>
      </c>
      <c r="H22" s="226">
        <f>H23+H25+H30+H31</f>
        <v>1200</v>
      </c>
      <c r="I22" s="317" t="str">
        <f>IF(H22=H34+'3.1.1_3.1.2'!H46,"OK","Pārbaudiet personu skaitu mājsaimniecībās pārskata gadā pēc ienākuma līmeņa!")</f>
        <v>OK</v>
      </c>
    </row>
    <row r="23" spans="1:9" ht="13.5" customHeight="1">
      <c r="A23" s="810"/>
      <c r="B23" s="811"/>
      <c r="C23" s="571" t="s">
        <v>105</v>
      </c>
      <c r="D23" s="553" t="s">
        <v>140</v>
      </c>
      <c r="E23" s="535"/>
      <c r="F23" s="273" t="s">
        <v>617</v>
      </c>
      <c r="G23" s="225" t="s">
        <v>67</v>
      </c>
      <c r="H23" s="267">
        <v>195</v>
      </c>
      <c r="I23" s="317" t="str">
        <f>IF(H23=H35+'3.1.1_3.1.2'!H47,"OK","Pārbaudiet pārskata gada trūcīgo bērnu skaita sadalījumu pēc ienākuma līmeņa!")</f>
        <v>OK</v>
      </c>
    </row>
    <row r="24" spans="1:10" ht="13.5" customHeight="1">
      <c r="A24" s="810"/>
      <c r="B24" s="811"/>
      <c r="C24" s="571"/>
      <c r="D24" s="553" t="s">
        <v>219</v>
      </c>
      <c r="E24" s="535"/>
      <c r="F24" s="272" t="s">
        <v>618</v>
      </c>
      <c r="G24" s="225" t="s">
        <v>67</v>
      </c>
      <c r="H24" s="267">
        <v>13</v>
      </c>
      <c r="I24" s="317" t="str">
        <f>IF(H24&lt;=H23,"OK","Bērnu ar invaliditāti skaits pārsniedz kopējo bērnu skaitu!")</f>
        <v>OK</v>
      </c>
      <c r="J24" s="317" t="str">
        <f>IF(H24=H36+'3.1.1_3.1.2'!H48,"OK","Pārbaudiet bērnu sadalījumu ar invaliditāti pārskata gadā pēc ienākuma līmeņa!")</f>
        <v>OK</v>
      </c>
    </row>
    <row r="25" spans="1:9" ht="27" customHeight="1">
      <c r="A25" s="810"/>
      <c r="B25" s="811"/>
      <c r="C25" s="571"/>
      <c r="D25" s="553" t="s">
        <v>220</v>
      </c>
      <c r="E25" s="535"/>
      <c r="F25" s="273" t="s">
        <v>619</v>
      </c>
      <c r="G25" s="225" t="s">
        <v>67</v>
      </c>
      <c r="H25" s="226">
        <f>H26+H27+H28</f>
        <v>265</v>
      </c>
      <c r="I25" s="317" t="str">
        <f>IF(H25=H37+'3.1.1_3.1.2'!H49,"OK","Pārbaudiet pārskata gada trūcīgo pilngadīgu darbspējīgu personu sadalījumu pēc ienākuma līmeņa!")</f>
        <v>OK</v>
      </c>
    </row>
    <row r="26" spans="1:8" ht="23.25" customHeight="1">
      <c r="A26" s="810"/>
      <c r="B26" s="811"/>
      <c r="C26" s="571"/>
      <c r="D26" s="571" t="s">
        <v>105</v>
      </c>
      <c r="E26" s="225" t="s">
        <v>221</v>
      </c>
      <c r="F26" s="272" t="s">
        <v>620</v>
      </c>
      <c r="G26" s="225" t="s">
        <v>67</v>
      </c>
      <c r="H26" s="267">
        <v>56</v>
      </c>
    </row>
    <row r="27" spans="1:8" ht="25.5">
      <c r="A27" s="810"/>
      <c r="B27" s="811"/>
      <c r="C27" s="571"/>
      <c r="D27" s="571"/>
      <c r="E27" s="225" t="s">
        <v>222</v>
      </c>
      <c r="F27" s="272" t="s">
        <v>621</v>
      </c>
      <c r="G27" s="225" t="s">
        <v>67</v>
      </c>
      <c r="H27" s="267">
        <v>193</v>
      </c>
    </row>
    <row r="28" spans="1:8" ht="38.25">
      <c r="A28" s="810"/>
      <c r="B28" s="811"/>
      <c r="C28" s="571"/>
      <c r="D28" s="571"/>
      <c r="E28" s="225" t="s">
        <v>223</v>
      </c>
      <c r="F28" s="272" t="s">
        <v>622</v>
      </c>
      <c r="G28" s="225" t="s">
        <v>67</v>
      </c>
      <c r="H28" s="267">
        <v>16</v>
      </c>
    </row>
    <row r="29" spans="1:9" ht="36" customHeight="1">
      <c r="A29" s="810"/>
      <c r="B29" s="811"/>
      <c r="C29" s="571"/>
      <c r="D29" s="553" t="s">
        <v>848</v>
      </c>
      <c r="E29" s="535"/>
      <c r="F29" s="273" t="s">
        <v>623</v>
      </c>
      <c r="G29" s="225" t="s">
        <v>67</v>
      </c>
      <c r="H29" s="267">
        <v>17</v>
      </c>
      <c r="I29" s="317" t="str">
        <f>IF(H29&lt;=H25,"OK","Personu skaits, kuras veic darba praktizēšanu pašvaldībās ar stipendiju, ir lielāks kā pilngadīgu darbspējīgu personu skaits!")</f>
        <v>OK</v>
      </c>
    </row>
    <row r="30" spans="1:9" ht="24.75" customHeight="1">
      <c r="A30" s="810"/>
      <c r="B30" s="811"/>
      <c r="C30" s="571"/>
      <c r="D30" s="553" t="s">
        <v>158</v>
      </c>
      <c r="E30" s="535"/>
      <c r="F30" s="273" t="s">
        <v>624</v>
      </c>
      <c r="G30" s="225" t="s">
        <v>67</v>
      </c>
      <c r="H30" s="267">
        <v>228</v>
      </c>
      <c r="I30" s="317" t="str">
        <f>IF(H30=H42+'3.1.1_3.1.2'!H54,"OK","Pārbaudiet pārskata gada trūcīgo pilngadīgu ar invaliditāti personu sadalījumu pēc ienākuma līmeņa!")</f>
        <v>OK</v>
      </c>
    </row>
    <row r="31" spans="1:9" ht="12.75">
      <c r="A31" s="810"/>
      <c r="B31" s="811"/>
      <c r="C31" s="571"/>
      <c r="D31" s="553" t="s">
        <v>160</v>
      </c>
      <c r="E31" s="535"/>
      <c r="F31" s="273" t="s">
        <v>625</v>
      </c>
      <c r="G31" s="225" t="s">
        <v>67</v>
      </c>
      <c r="H31" s="267">
        <v>512</v>
      </c>
      <c r="I31" s="317" t="str">
        <f>IF(H31=H43+'3.1.1_3.1.2'!H55,"OK","Pārbaudiet pārskata gada pensijas vecuma personu sadalījumu pēc ienākuma līmeņa!")</f>
        <v>OK</v>
      </c>
    </row>
    <row r="32" spans="1:8" ht="12.75">
      <c r="A32" s="812" t="s">
        <v>105</v>
      </c>
      <c r="B32" s="821" t="s">
        <v>1281</v>
      </c>
      <c r="C32" s="553" t="s">
        <v>138</v>
      </c>
      <c r="D32" s="553"/>
      <c r="E32" s="553"/>
      <c r="F32" s="224" t="s">
        <v>590</v>
      </c>
      <c r="G32" s="277" t="s">
        <v>931</v>
      </c>
      <c r="H32" s="267">
        <v>156798.15</v>
      </c>
    </row>
    <row r="33" spans="1:8" ht="25.5">
      <c r="A33" s="813"/>
      <c r="B33" s="822"/>
      <c r="C33" s="573" t="s">
        <v>979</v>
      </c>
      <c r="D33" s="535"/>
      <c r="E33" s="535"/>
      <c r="F33" s="224" t="s">
        <v>591</v>
      </c>
      <c r="G33" s="225" t="s">
        <v>953</v>
      </c>
      <c r="H33" s="267">
        <v>337</v>
      </c>
    </row>
    <row r="34" spans="1:8" ht="12.75">
      <c r="A34" s="813"/>
      <c r="B34" s="822"/>
      <c r="C34" s="553" t="s">
        <v>949</v>
      </c>
      <c r="D34" s="553"/>
      <c r="E34" s="553"/>
      <c r="F34" s="271" t="s">
        <v>592</v>
      </c>
      <c r="G34" s="225" t="s">
        <v>67</v>
      </c>
      <c r="H34" s="226">
        <f>H35+H37+H42+H43</f>
        <v>515</v>
      </c>
    </row>
    <row r="35" spans="1:9" ht="12.75">
      <c r="A35" s="813"/>
      <c r="B35" s="822"/>
      <c r="C35" s="571" t="s">
        <v>105</v>
      </c>
      <c r="D35" s="553" t="s">
        <v>140</v>
      </c>
      <c r="E35" s="535"/>
      <c r="F35" s="273" t="s">
        <v>593</v>
      </c>
      <c r="G35" s="225" t="s">
        <v>67</v>
      </c>
      <c r="H35" s="267">
        <v>103</v>
      </c>
      <c r="I35" s="317"/>
    </row>
    <row r="36" spans="1:9" ht="12.75">
      <c r="A36" s="813"/>
      <c r="B36" s="822"/>
      <c r="C36" s="571"/>
      <c r="D36" s="553" t="s">
        <v>219</v>
      </c>
      <c r="E36" s="535"/>
      <c r="F36" s="272" t="s">
        <v>594</v>
      </c>
      <c r="G36" s="225" t="s">
        <v>67</v>
      </c>
      <c r="H36" s="267">
        <v>5</v>
      </c>
      <c r="I36" s="317" t="str">
        <f>IF(H36&lt;=H35,"OK","Bērnu ar invaliditāti skaits pārsniedz kopējo bērnu skaitu!")</f>
        <v>OK</v>
      </c>
    </row>
    <row r="37" spans="1:8" ht="12.75">
      <c r="A37" s="813"/>
      <c r="B37" s="822"/>
      <c r="C37" s="571"/>
      <c r="D37" s="553" t="s">
        <v>220</v>
      </c>
      <c r="E37" s="535"/>
      <c r="F37" s="273" t="s">
        <v>595</v>
      </c>
      <c r="G37" s="225" t="s">
        <v>67</v>
      </c>
      <c r="H37" s="226">
        <f>H38+H39+H40</f>
        <v>181</v>
      </c>
    </row>
    <row r="38" spans="1:8" ht="25.5">
      <c r="A38" s="813"/>
      <c r="B38" s="822"/>
      <c r="C38" s="571"/>
      <c r="D38" s="571" t="s">
        <v>105</v>
      </c>
      <c r="E38" s="225" t="s">
        <v>221</v>
      </c>
      <c r="F38" s="272" t="s">
        <v>596</v>
      </c>
      <c r="G38" s="225" t="s">
        <v>67</v>
      </c>
      <c r="H38" s="267">
        <v>34</v>
      </c>
    </row>
    <row r="39" spans="1:8" ht="25.5">
      <c r="A39" s="813"/>
      <c r="B39" s="822"/>
      <c r="C39" s="571"/>
      <c r="D39" s="571"/>
      <c r="E39" s="225" t="s">
        <v>222</v>
      </c>
      <c r="F39" s="272" t="s">
        <v>597</v>
      </c>
      <c r="G39" s="225" t="s">
        <v>67</v>
      </c>
      <c r="H39" s="267">
        <v>139</v>
      </c>
    </row>
    <row r="40" spans="1:8" ht="38.25">
      <c r="A40" s="813"/>
      <c r="B40" s="822"/>
      <c r="C40" s="571"/>
      <c r="D40" s="571"/>
      <c r="E40" s="225" t="s">
        <v>223</v>
      </c>
      <c r="F40" s="272" t="s">
        <v>598</v>
      </c>
      <c r="G40" s="225" t="s">
        <v>67</v>
      </c>
      <c r="H40" s="267">
        <v>8</v>
      </c>
    </row>
    <row r="41" spans="1:9" ht="38.25" customHeight="1">
      <c r="A41" s="813"/>
      <c r="B41" s="822"/>
      <c r="C41" s="571"/>
      <c r="D41" s="553" t="s">
        <v>848</v>
      </c>
      <c r="E41" s="535"/>
      <c r="F41" s="273" t="s">
        <v>599</v>
      </c>
      <c r="G41" s="225" t="s">
        <v>67</v>
      </c>
      <c r="H41" s="267">
        <v>16</v>
      </c>
      <c r="I41" s="317" t="str">
        <f>IF(H41&lt;=H37,"OK","Personu skaits, kuras veic darba praktizēšanu pašvaldībās ar stipendiju, ir lielāks kā pilngadīgu darbspējīgu personu skaits!")</f>
        <v>OK</v>
      </c>
    </row>
    <row r="42" spans="1:8" ht="23.25" customHeight="1">
      <c r="A42" s="813"/>
      <c r="B42" s="822"/>
      <c r="C42" s="571"/>
      <c r="D42" s="553" t="s">
        <v>158</v>
      </c>
      <c r="E42" s="535"/>
      <c r="F42" s="273" t="s">
        <v>600</v>
      </c>
      <c r="G42" s="225" t="s">
        <v>67</v>
      </c>
      <c r="H42" s="267">
        <v>73</v>
      </c>
    </row>
    <row r="43" spans="1:8" ht="12.75">
      <c r="A43" s="813"/>
      <c r="B43" s="822"/>
      <c r="C43" s="571"/>
      <c r="D43" s="553" t="s">
        <v>160</v>
      </c>
      <c r="E43" s="535"/>
      <c r="F43" s="273" t="s">
        <v>601</v>
      </c>
      <c r="G43" s="225" t="s">
        <v>67</v>
      </c>
      <c r="H43" s="267">
        <v>158</v>
      </c>
    </row>
    <row r="44" spans="1:8" ht="12.75">
      <c r="A44" s="813"/>
      <c r="B44" s="821" t="s">
        <v>1282</v>
      </c>
      <c r="C44" s="553" t="s">
        <v>138</v>
      </c>
      <c r="D44" s="553"/>
      <c r="E44" s="553"/>
      <c r="F44" s="224" t="s">
        <v>602</v>
      </c>
      <c r="G44" s="277" t="s">
        <v>931</v>
      </c>
      <c r="H44" s="267">
        <v>95402.58</v>
      </c>
    </row>
    <row r="45" spans="1:8" ht="25.5">
      <c r="A45" s="813"/>
      <c r="B45" s="822"/>
      <c r="C45" s="573" t="s">
        <v>979</v>
      </c>
      <c r="D45" s="535"/>
      <c r="E45" s="535"/>
      <c r="F45" s="224" t="s">
        <v>604</v>
      </c>
      <c r="G45" s="225" t="s">
        <v>953</v>
      </c>
      <c r="H45" s="267">
        <f>H19-H33</f>
        <v>457</v>
      </c>
    </row>
    <row r="46" spans="1:8" ht="12.75">
      <c r="A46" s="813"/>
      <c r="B46" s="822"/>
      <c r="C46" s="553" t="s">
        <v>949</v>
      </c>
      <c r="D46" s="553"/>
      <c r="E46" s="553"/>
      <c r="F46" s="271" t="s">
        <v>603</v>
      </c>
      <c r="G46" s="225" t="s">
        <v>67</v>
      </c>
      <c r="H46" s="226">
        <f>H47+H49+H54+H55</f>
        <v>685</v>
      </c>
    </row>
    <row r="47" spans="1:8" ht="12.75">
      <c r="A47" s="813"/>
      <c r="B47" s="822"/>
      <c r="C47" s="571" t="s">
        <v>105</v>
      </c>
      <c r="D47" s="553" t="s">
        <v>140</v>
      </c>
      <c r="E47" s="535"/>
      <c r="F47" s="273" t="s">
        <v>605</v>
      </c>
      <c r="G47" s="225" t="s">
        <v>67</v>
      </c>
      <c r="H47" s="267">
        <f>H23-H35</f>
        <v>92</v>
      </c>
    </row>
    <row r="48" spans="1:9" ht="12.75">
      <c r="A48" s="813"/>
      <c r="B48" s="822"/>
      <c r="C48" s="571"/>
      <c r="D48" s="553" t="s">
        <v>219</v>
      </c>
      <c r="E48" s="535"/>
      <c r="F48" s="272" t="s">
        <v>606</v>
      </c>
      <c r="G48" s="225" t="s">
        <v>67</v>
      </c>
      <c r="H48" s="267">
        <f>H24-H36</f>
        <v>8</v>
      </c>
      <c r="I48" s="317" t="str">
        <f>IF(H48&lt;=H47,"OK","Bērnu ar invaliditāti skaits pārsniedz kopējo bērnu skaitu!")</f>
        <v>OK</v>
      </c>
    </row>
    <row r="49" spans="1:8" ht="12.75">
      <c r="A49" s="813"/>
      <c r="B49" s="822"/>
      <c r="C49" s="571"/>
      <c r="D49" s="553" t="s">
        <v>220</v>
      </c>
      <c r="E49" s="535"/>
      <c r="F49" s="273" t="s">
        <v>607</v>
      </c>
      <c r="G49" s="225" t="s">
        <v>67</v>
      </c>
      <c r="H49" s="226">
        <f>H50+H51+H52</f>
        <v>84</v>
      </c>
    </row>
    <row r="50" spans="1:8" ht="25.5">
      <c r="A50" s="813"/>
      <c r="B50" s="822"/>
      <c r="C50" s="571"/>
      <c r="D50" s="571" t="s">
        <v>105</v>
      </c>
      <c r="E50" s="225" t="s">
        <v>221</v>
      </c>
      <c r="F50" s="272" t="s">
        <v>608</v>
      </c>
      <c r="G50" s="225" t="s">
        <v>67</v>
      </c>
      <c r="H50" s="267">
        <f aca="true" t="shared" si="0" ref="H50:H55">H26-H38</f>
        <v>22</v>
      </c>
    </row>
    <row r="51" spans="1:8" ht="25.5">
      <c r="A51" s="813"/>
      <c r="B51" s="822"/>
      <c r="C51" s="571"/>
      <c r="D51" s="571"/>
      <c r="E51" s="225" t="s">
        <v>222</v>
      </c>
      <c r="F51" s="272" t="s">
        <v>609</v>
      </c>
      <c r="G51" s="225" t="s">
        <v>67</v>
      </c>
      <c r="H51" s="267">
        <f t="shared" si="0"/>
        <v>54</v>
      </c>
    </row>
    <row r="52" spans="1:8" ht="38.25">
      <c r="A52" s="813"/>
      <c r="B52" s="822"/>
      <c r="C52" s="571"/>
      <c r="D52" s="571"/>
      <c r="E52" s="225" t="s">
        <v>223</v>
      </c>
      <c r="F52" s="272" t="s">
        <v>610</v>
      </c>
      <c r="G52" s="225" t="s">
        <v>67</v>
      </c>
      <c r="H52" s="267">
        <f t="shared" si="0"/>
        <v>8</v>
      </c>
    </row>
    <row r="53" spans="1:9" ht="36" customHeight="1">
      <c r="A53" s="813"/>
      <c r="B53" s="822"/>
      <c r="C53" s="571"/>
      <c r="D53" s="553" t="s">
        <v>848</v>
      </c>
      <c r="E53" s="535"/>
      <c r="F53" s="273" t="s">
        <v>611</v>
      </c>
      <c r="G53" s="225" t="s">
        <v>67</v>
      </c>
      <c r="H53" s="267">
        <f t="shared" si="0"/>
        <v>1</v>
      </c>
      <c r="I53" s="317" t="str">
        <f>IF(H53&lt;=H49,"OK","Personu skaits, kuras veic darba praktizēšanu pašvaldībās ar stipendiju, ir lielāks kā pilngadīgu darbspējīgu personu skaits!")</f>
        <v>OK</v>
      </c>
    </row>
    <row r="54" spans="1:8" ht="27.75" customHeight="1">
      <c r="A54" s="813"/>
      <c r="B54" s="822"/>
      <c r="C54" s="571"/>
      <c r="D54" s="553" t="s">
        <v>158</v>
      </c>
      <c r="E54" s="535"/>
      <c r="F54" s="273" t="s">
        <v>612</v>
      </c>
      <c r="G54" s="225" t="s">
        <v>67</v>
      </c>
      <c r="H54" s="267">
        <f t="shared" si="0"/>
        <v>155</v>
      </c>
    </row>
    <row r="55" spans="1:8" ht="12.75">
      <c r="A55" s="814"/>
      <c r="B55" s="822"/>
      <c r="C55" s="571"/>
      <c r="D55" s="553" t="s">
        <v>160</v>
      </c>
      <c r="E55" s="535"/>
      <c r="F55" s="273" t="s">
        <v>613</v>
      </c>
      <c r="G55" s="225" t="s">
        <v>67</v>
      </c>
      <c r="H55" s="267">
        <f t="shared" si="0"/>
        <v>354</v>
      </c>
    </row>
    <row r="56" spans="1:8" ht="12.75">
      <c r="A56" s="815" t="s">
        <v>1318</v>
      </c>
      <c r="B56" s="816"/>
      <c r="C56" s="807" t="s">
        <v>138</v>
      </c>
      <c r="D56" s="807"/>
      <c r="E56" s="807"/>
      <c r="F56" s="269" t="s">
        <v>585</v>
      </c>
      <c r="G56" s="274" t="s">
        <v>931</v>
      </c>
      <c r="H56" s="266">
        <f>'3.1'!G3-'3.1.1_3.1.2'!H18</f>
        <v>53508.52000000002</v>
      </c>
    </row>
    <row r="57" spans="1:8" ht="25.5">
      <c r="A57" s="817"/>
      <c r="B57" s="818"/>
      <c r="C57" s="573" t="s">
        <v>979</v>
      </c>
      <c r="D57" s="535"/>
      <c r="E57" s="535"/>
      <c r="F57" s="224" t="s">
        <v>586</v>
      </c>
      <c r="G57" s="225" t="s">
        <v>953</v>
      </c>
      <c r="H57" s="267">
        <f>'3.1'!G6-'3.1.1_3.1.2'!H19</f>
        <v>344</v>
      </c>
    </row>
    <row r="58" spans="1:8" ht="12.75">
      <c r="A58" s="817"/>
      <c r="B58" s="818"/>
      <c r="C58" s="553" t="s">
        <v>949</v>
      </c>
      <c r="D58" s="553"/>
      <c r="E58" s="553"/>
      <c r="F58" s="271" t="s">
        <v>587</v>
      </c>
      <c r="G58" s="225" t="s">
        <v>67</v>
      </c>
      <c r="H58" s="226">
        <f>H59+H61+H66+H67</f>
        <v>664</v>
      </c>
    </row>
    <row r="59" spans="1:8" ht="12.75">
      <c r="A59" s="817"/>
      <c r="B59" s="818"/>
      <c r="C59" s="571" t="s">
        <v>105</v>
      </c>
      <c r="D59" s="553" t="s">
        <v>140</v>
      </c>
      <c r="E59" s="535"/>
      <c r="F59" s="273" t="s">
        <v>626</v>
      </c>
      <c r="G59" s="225" t="s">
        <v>67</v>
      </c>
      <c r="H59" s="267">
        <f>'3.1'!G12-'3.1.1_3.1.2'!H23</f>
        <v>183</v>
      </c>
    </row>
    <row r="60" spans="1:9" ht="12.75">
      <c r="A60" s="817"/>
      <c r="B60" s="818"/>
      <c r="C60" s="571"/>
      <c r="D60" s="553" t="s">
        <v>219</v>
      </c>
      <c r="E60" s="535"/>
      <c r="F60" s="272" t="s">
        <v>627</v>
      </c>
      <c r="G60" s="225" t="s">
        <v>67</v>
      </c>
      <c r="H60" s="267">
        <f>'3.1'!G13-'3.1.1_3.1.2'!H24</f>
        <v>5</v>
      </c>
      <c r="I60" s="317" t="str">
        <f>IF(H60&lt;=H59,"OK","Bērnu ar invaliditāti skaits pārsniedz kopējo bērnu skaitu!")</f>
        <v>OK</v>
      </c>
    </row>
    <row r="61" spans="1:8" ht="24" customHeight="1">
      <c r="A61" s="817"/>
      <c r="B61" s="818"/>
      <c r="C61" s="571"/>
      <c r="D61" s="553" t="s">
        <v>220</v>
      </c>
      <c r="E61" s="535"/>
      <c r="F61" s="273" t="s">
        <v>628</v>
      </c>
      <c r="G61" s="225" t="s">
        <v>67</v>
      </c>
      <c r="H61" s="226">
        <f>H62+H63+H64</f>
        <v>125</v>
      </c>
    </row>
    <row r="62" spans="1:8" ht="25.5">
      <c r="A62" s="817"/>
      <c r="B62" s="818"/>
      <c r="C62" s="571"/>
      <c r="D62" s="571" t="s">
        <v>105</v>
      </c>
      <c r="E62" s="225" t="s">
        <v>221</v>
      </c>
      <c r="F62" s="272" t="s">
        <v>629</v>
      </c>
      <c r="G62" s="225" t="s">
        <v>67</v>
      </c>
      <c r="H62" s="267">
        <f>'3.1'!G15-'3.1.1_3.1.2'!H26</f>
        <v>4</v>
      </c>
    </row>
    <row r="63" spans="1:8" ht="25.5">
      <c r="A63" s="817"/>
      <c r="B63" s="818"/>
      <c r="C63" s="571"/>
      <c r="D63" s="571"/>
      <c r="E63" s="225" t="s">
        <v>222</v>
      </c>
      <c r="F63" s="272" t="s">
        <v>630</v>
      </c>
      <c r="G63" s="225" t="s">
        <v>67</v>
      </c>
      <c r="H63" s="267">
        <f>'3.1'!G16-'3.1.1_3.1.2'!H27</f>
        <v>120</v>
      </c>
    </row>
    <row r="64" spans="1:8" ht="38.25">
      <c r="A64" s="817"/>
      <c r="B64" s="818"/>
      <c r="C64" s="571"/>
      <c r="D64" s="571"/>
      <c r="E64" s="225" t="s">
        <v>223</v>
      </c>
      <c r="F64" s="272" t="s">
        <v>631</v>
      </c>
      <c r="G64" s="225" t="s">
        <v>67</v>
      </c>
      <c r="H64" s="267">
        <f>'3.1'!G17-'3.1.1_3.1.2'!H28</f>
        <v>1</v>
      </c>
    </row>
    <row r="65" spans="1:9" ht="38.25" customHeight="1">
      <c r="A65" s="817"/>
      <c r="B65" s="818"/>
      <c r="C65" s="571"/>
      <c r="D65" s="553" t="s">
        <v>848</v>
      </c>
      <c r="E65" s="535"/>
      <c r="F65" s="273" t="s">
        <v>632</v>
      </c>
      <c r="G65" s="225" t="s">
        <v>67</v>
      </c>
      <c r="H65" s="267">
        <f>'3.1'!G18-'3.1.1_3.1.2'!H29</f>
        <v>1</v>
      </c>
      <c r="I65" s="317" t="str">
        <f>IF(H65&lt;=H61,"OK","Personu skaits, kuras veic darba praktizēšanu pašvaldībās ar stipendiju, ir lielāks kā pilngadīgu darbspējīgu personu skaits!")</f>
        <v>OK</v>
      </c>
    </row>
    <row r="66" spans="1:8" ht="23.25" customHeight="1">
      <c r="A66" s="817"/>
      <c r="B66" s="818"/>
      <c r="C66" s="571"/>
      <c r="D66" s="553" t="s">
        <v>158</v>
      </c>
      <c r="E66" s="535"/>
      <c r="F66" s="273" t="s">
        <v>633</v>
      </c>
      <c r="G66" s="225" t="s">
        <v>67</v>
      </c>
      <c r="H66" s="267">
        <f>'3.1'!G19-'3.1.1_3.1.2'!H30</f>
        <v>22</v>
      </c>
    </row>
    <row r="67" spans="1:8" ht="13.5" thickBot="1">
      <c r="A67" s="819"/>
      <c r="B67" s="820"/>
      <c r="C67" s="789"/>
      <c r="D67" s="794" t="s">
        <v>160</v>
      </c>
      <c r="E67" s="795"/>
      <c r="F67" s="372" t="s">
        <v>634</v>
      </c>
      <c r="G67" s="293" t="s">
        <v>67</v>
      </c>
      <c r="H67" s="268">
        <f>'3.1'!G20-'3.1.1_3.1.2'!H31</f>
        <v>334</v>
      </c>
    </row>
    <row r="68" spans="1:8" ht="28.5" customHeight="1" thickBot="1">
      <c r="A68" s="801" t="s">
        <v>1065</v>
      </c>
      <c r="B68" s="802"/>
      <c r="C68" s="802"/>
      <c r="D68" s="802"/>
      <c r="E68" s="802"/>
      <c r="F68" s="373" t="s">
        <v>992</v>
      </c>
      <c r="G68" s="374" t="s">
        <v>931</v>
      </c>
      <c r="H68" s="364">
        <v>327</v>
      </c>
    </row>
    <row r="69" spans="1:8" ht="24" customHeight="1" thickBot="1">
      <c r="A69" s="801" t="s">
        <v>1066</v>
      </c>
      <c r="B69" s="802"/>
      <c r="C69" s="802"/>
      <c r="D69" s="802"/>
      <c r="E69" s="802"/>
      <c r="F69" s="373" t="s">
        <v>993</v>
      </c>
      <c r="G69" s="374" t="s">
        <v>931</v>
      </c>
      <c r="H69" s="364">
        <v>229</v>
      </c>
    </row>
    <row r="70" spans="1:8" ht="12.75">
      <c r="A70" s="803" t="s">
        <v>1006</v>
      </c>
      <c r="B70" s="804"/>
      <c r="C70" s="807" t="s">
        <v>138</v>
      </c>
      <c r="D70" s="807"/>
      <c r="E70" s="807"/>
      <c r="F70" s="375" t="s">
        <v>994</v>
      </c>
      <c r="G70" s="274" t="s">
        <v>931</v>
      </c>
      <c r="H70" s="258">
        <v>92632.05</v>
      </c>
    </row>
    <row r="71" spans="1:8" ht="25.5">
      <c r="A71" s="805"/>
      <c r="B71" s="535"/>
      <c r="C71" s="573" t="s">
        <v>979</v>
      </c>
      <c r="D71" s="535"/>
      <c r="E71" s="535"/>
      <c r="F71" s="271" t="s">
        <v>995</v>
      </c>
      <c r="G71" s="225" t="s">
        <v>953</v>
      </c>
      <c r="H71" s="259">
        <v>497</v>
      </c>
    </row>
    <row r="72" spans="1:8" ht="30.75" customHeight="1">
      <c r="A72" s="805"/>
      <c r="B72" s="535"/>
      <c r="C72" s="799" t="s">
        <v>1279</v>
      </c>
      <c r="D72" s="800"/>
      <c r="E72" s="800"/>
      <c r="F72" s="271" t="s">
        <v>1110</v>
      </c>
      <c r="G72" s="225" t="s">
        <v>67</v>
      </c>
      <c r="H72" s="259">
        <v>497</v>
      </c>
    </row>
    <row r="73" spans="1:8" ht="27.75" customHeight="1">
      <c r="A73" s="805"/>
      <c r="B73" s="535"/>
      <c r="C73" s="799" t="s">
        <v>1280</v>
      </c>
      <c r="D73" s="800"/>
      <c r="E73" s="800"/>
      <c r="F73" s="271" t="s">
        <v>1111</v>
      </c>
      <c r="G73" s="225" t="s">
        <v>67</v>
      </c>
      <c r="H73" s="259">
        <v>157</v>
      </c>
    </row>
    <row r="74" spans="1:8" ht="12.75" customHeight="1">
      <c r="A74" s="805"/>
      <c r="B74" s="535"/>
      <c r="C74" s="553" t="s">
        <v>949</v>
      </c>
      <c r="D74" s="553"/>
      <c r="E74" s="553"/>
      <c r="F74" s="271" t="s">
        <v>996</v>
      </c>
      <c r="G74" s="225" t="s">
        <v>67</v>
      </c>
      <c r="H74" s="295">
        <f>H75+H77+H82+H83</f>
        <v>654</v>
      </c>
    </row>
    <row r="75" spans="1:8" ht="12.75">
      <c r="A75" s="805"/>
      <c r="B75" s="535"/>
      <c r="C75" s="571" t="s">
        <v>105</v>
      </c>
      <c r="D75" s="553" t="s">
        <v>140</v>
      </c>
      <c r="E75" s="535"/>
      <c r="F75" s="271" t="s">
        <v>997</v>
      </c>
      <c r="G75" s="225" t="s">
        <v>67</v>
      </c>
      <c r="H75" s="259">
        <v>29</v>
      </c>
    </row>
    <row r="76" spans="1:8" ht="12.75">
      <c r="A76" s="805"/>
      <c r="B76" s="535"/>
      <c r="C76" s="571"/>
      <c r="D76" s="553" t="s">
        <v>219</v>
      </c>
      <c r="E76" s="535"/>
      <c r="F76" s="272" t="s">
        <v>998</v>
      </c>
      <c r="G76" s="225" t="s">
        <v>67</v>
      </c>
      <c r="H76" s="259">
        <v>3</v>
      </c>
    </row>
    <row r="77" spans="1:8" ht="12.75">
      <c r="A77" s="805"/>
      <c r="B77" s="535"/>
      <c r="C77" s="571"/>
      <c r="D77" s="553" t="s">
        <v>220</v>
      </c>
      <c r="E77" s="535"/>
      <c r="F77" s="271" t="s">
        <v>999</v>
      </c>
      <c r="G77" s="225" t="s">
        <v>67</v>
      </c>
      <c r="H77" s="295">
        <f>H78+H79+H80</f>
        <v>38</v>
      </c>
    </row>
    <row r="78" spans="1:8" ht="25.5">
      <c r="A78" s="805"/>
      <c r="B78" s="535"/>
      <c r="C78" s="571"/>
      <c r="D78" s="571" t="s">
        <v>105</v>
      </c>
      <c r="E78" s="225" t="s">
        <v>221</v>
      </c>
      <c r="F78" s="272" t="s">
        <v>1000</v>
      </c>
      <c r="G78" s="225" t="s">
        <v>67</v>
      </c>
      <c r="H78" s="259">
        <v>10</v>
      </c>
    </row>
    <row r="79" spans="1:8" ht="25.5">
      <c r="A79" s="805"/>
      <c r="B79" s="535"/>
      <c r="C79" s="571"/>
      <c r="D79" s="571"/>
      <c r="E79" s="225" t="s">
        <v>222</v>
      </c>
      <c r="F79" s="272" t="s">
        <v>1001</v>
      </c>
      <c r="G79" s="225" t="s">
        <v>67</v>
      </c>
      <c r="H79" s="259">
        <v>26</v>
      </c>
    </row>
    <row r="80" spans="1:8" ht="38.25">
      <c r="A80" s="805"/>
      <c r="B80" s="535"/>
      <c r="C80" s="571"/>
      <c r="D80" s="571"/>
      <c r="E80" s="225" t="s">
        <v>223</v>
      </c>
      <c r="F80" s="272" t="s">
        <v>1002</v>
      </c>
      <c r="G80" s="225" t="s">
        <v>67</v>
      </c>
      <c r="H80" s="259">
        <v>2</v>
      </c>
    </row>
    <row r="81" spans="1:8" ht="38.25" customHeight="1">
      <c r="A81" s="805"/>
      <c r="B81" s="535"/>
      <c r="C81" s="571"/>
      <c r="D81" s="553" t="s">
        <v>848</v>
      </c>
      <c r="E81" s="535"/>
      <c r="F81" s="272" t="s">
        <v>1003</v>
      </c>
      <c r="G81" s="225" t="s">
        <v>67</v>
      </c>
      <c r="H81" s="259">
        <v>1</v>
      </c>
    </row>
    <row r="82" spans="1:8" ht="26.25" customHeight="1">
      <c r="A82" s="805"/>
      <c r="B82" s="535"/>
      <c r="C82" s="571"/>
      <c r="D82" s="553" t="s">
        <v>158</v>
      </c>
      <c r="E82" s="535"/>
      <c r="F82" s="271" t="s">
        <v>1004</v>
      </c>
      <c r="G82" s="225" t="s">
        <v>67</v>
      </c>
      <c r="H82" s="259">
        <v>99</v>
      </c>
    </row>
    <row r="83" spans="1:8" ht="13.5" thickBot="1">
      <c r="A83" s="806"/>
      <c r="B83" s="543"/>
      <c r="C83" s="572"/>
      <c r="D83" s="793" t="s">
        <v>160</v>
      </c>
      <c r="E83" s="543"/>
      <c r="F83" s="376" t="s">
        <v>1005</v>
      </c>
      <c r="G83" s="279" t="s">
        <v>67</v>
      </c>
      <c r="H83" s="261">
        <v>488</v>
      </c>
    </row>
  </sheetData>
  <sheetProtection password="CE88" sheet="1" objects="1" scenarios="1"/>
  <mergeCells count="76">
    <mergeCell ref="A12:D14"/>
    <mergeCell ref="C20:E20"/>
    <mergeCell ref="A16:H16"/>
    <mergeCell ref="D26:D28"/>
    <mergeCell ref="A17:E17"/>
    <mergeCell ref="C19:E19"/>
    <mergeCell ref="C22:E22"/>
    <mergeCell ref="D24:E24"/>
    <mergeCell ref="D25:E25"/>
    <mergeCell ref="D31:E31"/>
    <mergeCell ref="C35:C43"/>
    <mergeCell ref="C21:E21"/>
    <mergeCell ref="D43:E43"/>
    <mergeCell ref="C32:E32"/>
    <mergeCell ref="C33:E33"/>
    <mergeCell ref="D35:E35"/>
    <mergeCell ref="D36:E36"/>
    <mergeCell ref="D41:E41"/>
    <mergeCell ref="C23:C31"/>
    <mergeCell ref="A1:H1"/>
    <mergeCell ref="A2:E2"/>
    <mergeCell ref="A3:D5"/>
    <mergeCell ref="A6:D8"/>
    <mergeCell ref="A9:D11"/>
    <mergeCell ref="D66:E66"/>
    <mergeCell ref="B44:B55"/>
    <mergeCell ref="C44:E44"/>
    <mergeCell ref="C45:E45"/>
    <mergeCell ref="C46:E46"/>
    <mergeCell ref="C59:C67"/>
    <mergeCell ref="D59:E59"/>
    <mergeCell ref="A56:B67"/>
    <mergeCell ref="D37:E37"/>
    <mergeCell ref="D38:D40"/>
    <mergeCell ref="D61:E61"/>
    <mergeCell ref="D65:E65"/>
    <mergeCell ref="D54:E54"/>
    <mergeCell ref="B32:B43"/>
    <mergeCell ref="D42:E42"/>
    <mergeCell ref="D49:E49"/>
    <mergeCell ref="D50:D52"/>
    <mergeCell ref="A18:B31"/>
    <mergeCell ref="A32:A55"/>
    <mergeCell ref="D48:E48"/>
    <mergeCell ref="D23:E23"/>
    <mergeCell ref="D29:E29"/>
    <mergeCell ref="D30:E30"/>
    <mergeCell ref="C47:C55"/>
    <mergeCell ref="C18:E18"/>
    <mergeCell ref="D67:E67"/>
    <mergeCell ref="D60:E60"/>
    <mergeCell ref="C56:E56"/>
    <mergeCell ref="C57:E57"/>
    <mergeCell ref="C34:E34"/>
    <mergeCell ref="C58:E58"/>
    <mergeCell ref="D47:E47"/>
    <mergeCell ref="D62:D64"/>
    <mergeCell ref="D53:E53"/>
    <mergeCell ref="D55:E55"/>
    <mergeCell ref="C70:E70"/>
    <mergeCell ref="C71:E71"/>
    <mergeCell ref="C74:E74"/>
    <mergeCell ref="C75:C83"/>
    <mergeCell ref="D75:E75"/>
    <mergeCell ref="D76:E76"/>
    <mergeCell ref="D77:E77"/>
    <mergeCell ref="J16:Q16"/>
    <mergeCell ref="D78:D80"/>
    <mergeCell ref="D81:E81"/>
    <mergeCell ref="D82:E82"/>
    <mergeCell ref="D83:E83"/>
    <mergeCell ref="C72:E72"/>
    <mergeCell ref="C73:E73"/>
    <mergeCell ref="A68:E68"/>
    <mergeCell ref="A69:E69"/>
    <mergeCell ref="A70:B83"/>
  </mergeCells>
  <printOptions/>
  <pageMargins left="0.75" right="0.75" top="0.69" bottom="0.64" header="0.5" footer="0.34"/>
  <pageSetup horizontalDpi="1200" verticalDpi="1200" orientation="portrait" paperSize="8" r:id="rId1"/>
  <headerFooter alignWithMargins="0">
    <oddFooter>&amp;R24 - 25</oddFooter>
  </headerFooter>
</worksheet>
</file>

<file path=xl/worksheets/sheet2.xml><?xml version="1.0" encoding="utf-8"?>
<worksheet xmlns="http://schemas.openxmlformats.org/spreadsheetml/2006/main" xmlns:r="http://schemas.openxmlformats.org/officeDocument/2006/relationships">
  <dimension ref="A1:E28"/>
  <sheetViews>
    <sheetView zoomScalePageLayoutView="0" workbookViewId="0" topLeftCell="A1">
      <selection activeCell="I32" sqref="I32"/>
    </sheetView>
  </sheetViews>
  <sheetFormatPr defaultColWidth="9.140625" defaultRowHeight="12.75"/>
  <cols>
    <col min="1" max="1" width="9.140625" style="38" customWidth="1"/>
    <col min="2" max="2" width="82.28125" style="36" customWidth="1"/>
  </cols>
  <sheetData>
    <row r="1" spans="1:2" ht="35.25" customHeight="1" thickBot="1">
      <c r="A1" s="417" t="s">
        <v>58</v>
      </c>
      <c r="B1" s="417"/>
    </row>
    <row r="2" spans="1:2" s="39" customFormat="1" ht="32.25" customHeight="1" thickBot="1">
      <c r="A2" s="40" t="s">
        <v>16</v>
      </c>
      <c r="B2" s="41" t="s">
        <v>17</v>
      </c>
    </row>
    <row r="3" spans="1:2" ht="46.5" customHeight="1">
      <c r="A3" s="42" t="s">
        <v>55</v>
      </c>
      <c r="B3" s="49" t="s">
        <v>18</v>
      </c>
    </row>
    <row r="4" spans="1:2" ht="31.5">
      <c r="A4" s="43" t="s">
        <v>35</v>
      </c>
      <c r="B4" s="44" t="s">
        <v>19</v>
      </c>
    </row>
    <row r="5" spans="1:2" ht="31.5">
      <c r="A5" s="43" t="s">
        <v>36</v>
      </c>
      <c r="B5" s="44" t="s">
        <v>20</v>
      </c>
    </row>
    <row r="6" spans="1:2" ht="31.5">
      <c r="A6" s="43" t="s">
        <v>37</v>
      </c>
      <c r="B6" s="44" t="s">
        <v>21</v>
      </c>
    </row>
    <row r="7" spans="1:2" ht="31.5">
      <c r="A7" s="43" t="s">
        <v>38</v>
      </c>
      <c r="B7" s="44" t="s">
        <v>22</v>
      </c>
    </row>
    <row r="8" spans="1:2" ht="15.75">
      <c r="A8" s="43" t="s">
        <v>39</v>
      </c>
      <c r="B8" s="44" t="s">
        <v>1324</v>
      </c>
    </row>
    <row r="9" spans="1:2" ht="47.25" customHeight="1">
      <c r="A9" s="45" t="s">
        <v>56</v>
      </c>
      <c r="B9" s="50" t="s">
        <v>23</v>
      </c>
    </row>
    <row r="10" spans="1:2" ht="15.75">
      <c r="A10" s="43" t="s">
        <v>40</v>
      </c>
      <c r="B10" s="44" t="s">
        <v>24</v>
      </c>
    </row>
    <row r="11" spans="1:2" ht="15.75">
      <c r="A11" s="43" t="s">
        <v>41</v>
      </c>
      <c r="B11" s="44" t="s">
        <v>25</v>
      </c>
    </row>
    <row r="12" spans="1:2" ht="15.75">
      <c r="A12" s="43" t="s">
        <v>42</v>
      </c>
      <c r="B12" s="44" t="s">
        <v>26</v>
      </c>
    </row>
    <row r="13" spans="1:2" ht="15.75">
      <c r="A13" s="43" t="s">
        <v>43</v>
      </c>
      <c r="B13" s="44" t="s">
        <v>27</v>
      </c>
    </row>
    <row r="14" spans="1:2" ht="15.75">
      <c r="A14" s="43" t="s">
        <v>44</v>
      </c>
      <c r="B14" s="44" t="s">
        <v>28</v>
      </c>
    </row>
    <row r="15" spans="1:2" s="37" customFormat="1" ht="15.75">
      <c r="A15" s="43" t="s">
        <v>45</v>
      </c>
      <c r="B15" s="46" t="s">
        <v>29</v>
      </c>
    </row>
    <row r="16" spans="1:2" ht="15.75">
      <c r="A16" s="43" t="s">
        <v>46</v>
      </c>
      <c r="B16" s="44" t="s">
        <v>30</v>
      </c>
    </row>
    <row r="17" spans="1:2" ht="31.5" customHeight="1">
      <c r="A17" s="47" t="s">
        <v>57</v>
      </c>
      <c r="B17" s="50" t="s">
        <v>31</v>
      </c>
    </row>
    <row r="18" spans="1:5" ht="15.75">
      <c r="A18" s="43" t="s">
        <v>47</v>
      </c>
      <c r="B18" s="44" t="s">
        <v>32</v>
      </c>
      <c r="E18" s="64"/>
    </row>
    <row r="19" spans="1:2" ht="15.75">
      <c r="A19" s="43" t="s">
        <v>1326</v>
      </c>
      <c r="B19" s="44" t="s">
        <v>1325</v>
      </c>
    </row>
    <row r="20" spans="1:2" ht="31.5">
      <c r="A20" s="43" t="s">
        <v>49</v>
      </c>
      <c r="B20" s="44" t="s">
        <v>947</v>
      </c>
    </row>
    <row r="21" spans="1:2" ht="31.5">
      <c r="A21" s="43" t="s">
        <v>50</v>
      </c>
      <c r="B21" s="44" t="s">
        <v>948</v>
      </c>
    </row>
    <row r="22" spans="1:2" ht="15.75">
      <c r="A22" s="43" t="s">
        <v>51</v>
      </c>
      <c r="B22" s="44" t="s">
        <v>1327</v>
      </c>
    </row>
    <row r="23" spans="1:2" ht="15.75">
      <c r="A23" s="43" t="s">
        <v>52</v>
      </c>
      <c r="B23" s="44" t="s">
        <v>1320</v>
      </c>
    </row>
    <row r="24" spans="1:2" ht="15.75">
      <c r="A24" s="43" t="s">
        <v>53</v>
      </c>
      <c r="B24" s="44" t="s">
        <v>1328</v>
      </c>
    </row>
    <row r="25" spans="1:5" ht="15.75">
      <c r="A25" s="43" t="s">
        <v>48</v>
      </c>
      <c r="B25" s="392" t="s">
        <v>932</v>
      </c>
      <c r="E25" s="64"/>
    </row>
    <row r="26" spans="1:5" ht="31.5">
      <c r="A26" s="43" t="s">
        <v>54</v>
      </c>
      <c r="B26" s="44" t="s">
        <v>33</v>
      </c>
      <c r="E26" s="64"/>
    </row>
    <row r="27" spans="1:5" ht="15.75">
      <c r="A27" s="387" t="s">
        <v>1321</v>
      </c>
      <c r="B27" s="388" t="s">
        <v>1323</v>
      </c>
      <c r="E27" s="64"/>
    </row>
    <row r="28" spans="1:5" ht="28.5" customHeight="1" thickBot="1">
      <c r="A28" s="48" t="s">
        <v>1322</v>
      </c>
      <c r="B28" s="51" t="s">
        <v>34</v>
      </c>
      <c r="E28" s="64"/>
    </row>
  </sheetData>
  <sheetProtection password="CE88" sheet="1" objects="1" scenarios="1"/>
  <mergeCells count="1">
    <mergeCell ref="A1:B1"/>
  </mergeCells>
  <hyperlinks>
    <hyperlink ref="B15" r:id="rId1" tooltip="Sociālo pakalpojumu un sociālās palīdzības likums" display="http://pro.nais.lv/naiser/text.cfm?Ref=0101032010040600338&amp;Req=0101032010040600338&amp;Key=0103012002103132805&amp;Hash="/>
  </hyperlinks>
  <printOptions/>
  <pageMargins left="0.75" right="0.75" top="1" bottom="1" header="0.5" footer="0.5"/>
  <pageSetup horizontalDpi="1200" verticalDpi="1200" orientation="portrait" paperSize="9" scale="95" r:id="rId2"/>
  <headerFooter alignWithMargins="0">
    <oddFooter>&amp;R2</oddFooter>
  </headerFooter>
</worksheet>
</file>

<file path=xl/worksheets/sheet20.xml><?xml version="1.0" encoding="utf-8"?>
<worksheet xmlns="http://schemas.openxmlformats.org/spreadsheetml/2006/main" xmlns:r="http://schemas.openxmlformats.org/officeDocument/2006/relationships">
  <dimension ref="A1:I36"/>
  <sheetViews>
    <sheetView zoomScalePageLayoutView="0" workbookViewId="0" topLeftCell="A1">
      <selection activeCell="H8" sqref="H8"/>
    </sheetView>
  </sheetViews>
  <sheetFormatPr defaultColWidth="9.140625" defaultRowHeight="12.75"/>
  <cols>
    <col min="1" max="1" width="9.140625" style="148" customWidth="1"/>
    <col min="2" max="2" width="18.00390625" style="148" customWidth="1"/>
    <col min="3" max="3" width="23.00390625" style="148" customWidth="1"/>
    <col min="4" max="4" width="12.8515625" style="168" customWidth="1"/>
    <col min="5" max="5" width="14.421875" style="148" customWidth="1"/>
    <col min="6" max="16384" width="9.140625" style="148" customWidth="1"/>
  </cols>
  <sheetData>
    <row r="1" spans="1:6" ht="24" customHeight="1" thickBot="1">
      <c r="A1" s="290" t="s">
        <v>982</v>
      </c>
      <c r="B1" s="291"/>
      <c r="C1" s="291"/>
      <c r="D1" s="292"/>
      <c r="E1" s="291"/>
      <c r="F1" s="291"/>
    </row>
    <row r="2" spans="1:6" ht="15.75" customHeight="1" thickBot="1">
      <c r="A2" s="831" t="s">
        <v>124</v>
      </c>
      <c r="B2" s="832"/>
      <c r="C2" s="833"/>
      <c r="D2" s="170" t="s">
        <v>60</v>
      </c>
      <c r="E2" s="169" t="s">
        <v>61</v>
      </c>
      <c r="F2" s="171" t="s">
        <v>62</v>
      </c>
    </row>
    <row r="3" spans="1:7" ht="15.75" customHeight="1">
      <c r="A3" s="448" t="s">
        <v>235</v>
      </c>
      <c r="B3" s="704"/>
      <c r="C3" s="704"/>
      <c r="D3" s="152" t="s">
        <v>635</v>
      </c>
      <c r="E3" s="245" t="s">
        <v>931</v>
      </c>
      <c r="F3" s="153">
        <f>F4+F5</f>
        <v>87798.7</v>
      </c>
      <c r="G3" s="154" t="str">
        <f>IF(F3=F4+F5,"OK","Pārbaudiet naudā un natūrā izmaksātos GMI pabalstus")</f>
        <v>OK</v>
      </c>
    </row>
    <row r="4" spans="1:9" ht="15" customHeight="1">
      <c r="A4" s="418" t="s">
        <v>74</v>
      </c>
      <c r="B4" s="706" t="s">
        <v>216</v>
      </c>
      <c r="C4" s="706"/>
      <c r="D4" s="157" t="s">
        <v>636</v>
      </c>
      <c r="E4" s="247" t="s">
        <v>931</v>
      </c>
      <c r="F4" s="297">
        <v>87798.7</v>
      </c>
      <c r="I4" s="148" t="str">
        <f>IF(AND(SUM(F6:F27)&gt;0,SUM(F3:F5)&gt;0),"OK",IF(SUM(F3:F36)=0,"OK","Pārbaudi vai nauda un cilvēki ir salikti"))</f>
        <v>OK</v>
      </c>
    </row>
    <row r="5" spans="1:6" ht="15.75" customHeight="1">
      <c r="A5" s="418"/>
      <c r="B5" s="710" t="s">
        <v>217</v>
      </c>
      <c r="C5" s="710"/>
      <c r="D5" s="157" t="s">
        <v>637</v>
      </c>
      <c r="E5" s="247" t="s">
        <v>931</v>
      </c>
      <c r="F5" s="297">
        <v>0</v>
      </c>
    </row>
    <row r="6" spans="1:6" ht="30" customHeight="1">
      <c r="A6" s="532" t="s">
        <v>983</v>
      </c>
      <c r="B6" s="535"/>
      <c r="C6" s="535"/>
      <c r="D6" s="224" t="s">
        <v>638</v>
      </c>
      <c r="E6" s="225" t="s">
        <v>953</v>
      </c>
      <c r="F6" s="259">
        <v>215</v>
      </c>
    </row>
    <row r="7" spans="1:8" ht="30" customHeight="1">
      <c r="A7" s="286" t="s">
        <v>990</v>
      </c>
      <c r="B7" s="548" t="s">
        <v>991</v>
      </c>
      <c r="C7" s="548"/>
      <c r="D7" s="224" t="s">
        <v>1126</v>
      </c>
      <c r="E7" s="225" t="s">
        <v>953</v>
      </c>
      <c r="F7" s="259">
        <v>143</v>
      </c>
      <c r="H7" s="158"/>
    </row>
    <row r="8" spans="1:6" ht="16.5" customHeight="1">
      <c r="A8" s="799" t="s">
        <v>981</v>
      </c>
      <c r="B8" s="800"/>
      <c r="C8" s="800"/>
      <c r="D8" s="224" t="s">
        <v>941</v>
      </c>
      <c r="E8" s="225" t="s">
        <v>67</v>
      </c>
      <c r="F8" s="259">
        <v>215</v>
      </c>
    </row>
    <row r="9" spans="1:6" ht="16.5" customHeight="1">
      <c r="A9" s="799" t="s">
        <v>989</v>
      </c>
      <c r="B9" s="800"/>
      <c r="C9" s="800"/>
      <c r="D9" s="224" t="s">
        <v>942</v>
      </c>
      <c r="E9" s="225" t="s">
        <v>67</v>
      </c>
      <c r="F9" s="259">
        <v>122</v>
      </c>
    </row>
    <row r="10" spans="1:8" ht="15.75" customHeight="1">
      <c r="A10" s="835" t="s">
        <v>951</v>
      </c>
      <c r="B10" s="553"/>
      <c r="C10" s="553"/>
      <c r="D10" s="271" t="s">
        <v>639</v>
      </c>
      <c r="E10" s="225" t="s">
        <v>67</v>
      </c>
      <c r="F10" s="226">
        <f>F15+F17+F22+F23</f>
        <v>337</v>
      </c>
      <c r="G10" s="154" t="str">
        <f>IF(F10=F11+F12+F13+F14,"OK","Pārbaudiet saņēmēju skaita sadalījumu pa vecumiem un dzimumiem")</f>
        <v>OK</v>
      </c>
      <c r="H10" s="155"/>
    </row>
    <row r="11" spans="1:9" ht="18" customHeight="1">
      <c r="A11" s="836" t="s">
        <v>105</v>
      </c>
      <c r="B11" s="571" t="s">
        <v>140</v>
      </c>
      <c r="C11" s="225" t="s">
        <v>218</v>
      </c>
      <c r="D11" s="272" t="s">
        <v>640</v>
      </c>
      <c r="E11" s="225" t="s">
        <v>67</v>
      </c>
      <c r="F11" s="259">
        <v>49</v>
      </c>
      <c r="H11" s="162"/>
      <c r="I11" s="148" t="str">
        <f>IF(F3=F4+F5,IF(F10=F11+F12+F14+F13,IF(F11+F12=F15,IF(F13+F14=F17+F22+F23,IF(F17=F18+F19+F20,IF(AND(F6&gt;=(F13+F14)/2,F6&lt;=F13+F14),"OK","Pārbaudi Tabulā 3.1.3. F6, F10, F11"),"Pārbaudi  tabulā 3.1.3. F14. F15,F16, F17"),"Pārbaudi tabulā 3.1.3 F10, F11, F14, F19, F20"),"Pārbaudi tabulā 3.1.3 F8, F9, F12"),"Pārbaudi tabulā 3.1.3 F7, F8, F9, F10"),"Pārbaudi tabulā 3.1.3. F3, F4, F5")</f>
        <v>OK</v>
      </c>
    </row>
    <row r="12" spans="1:6" ht="15.75" customHeight="1">
      <c r="A12" s="837"/>
      <c r="B12" s="571"/>
      <c r="C12" s="225" t="s">
        <v>143</v>
      </c>
      <c r="D12" s="272" t="s">
        <v>641</v>
      </c>
      <c r="E12" s="225" t="s">
        <v>67</v>
      </c>
      <c r="F12" s="259">
        <v>42</v>
      </c>
    </row>
    <row r="13" spans="1:7" ht="15" customHeight="1">
      <c r="A13" s="837"/>
      <c r="B13" s="573" t="s">
        <v>141</v>
      </c>
      <c r="C13" s="225" t="s">
        <v>218</v>
      </c>
      <c r="D13" s="272" t="s">
        <v>642</v>
      </c>
      <c r="E13" s="225" t="s">
        <v>67</v>
      </c>
      <c r="F13" s="259">
        <v>132</v>
      </c>
      <c r="G13" s="154" t="str">
        <f>IF(F13+F14=F17+F22+F23,"OK","Pārbaudiet pilngadīgu personu skaita sadalījumu!")</f>
        <v>OK</v>
      </c>
    </row>
    <row r="14" spans="1:6" ht="15.75" customHeight="1">
      <c r="A14" s="837"/>
      <c r="B14" s="573"/>
      <c r="C14" s="225" t="s">
        <v>143</v>
      </c>
      <c r="D14" s="272" t="s">
        <v>643</v>
      </c>
      <c r="E14" s="225" t="s">
        <v>67</v>
      </c>
      <c r="F14" s="259">
        <v>114</v>
      </c>
    </row>
    <row r="15" spans="1:7" ht="18" customHeight="1">
      <c r="A15" s="838" t="s">
        <v>105</v>
      </c>
      <c r="B15" s="553" t="s">
        <v>140</v>
      </c>
      <c r="C15" s="535"/>
      <c r="D15" s="271" t="s">
        <v>644</v>
      </c>
      <c r="E15" s="225" t="s">
        <v>67</v>
      </c>
      <c r="F15" s="259">
        <v>91</v>
      </c>
      <c r="G15" s="154" t="str">
        <f>IF(F15=F11+F12,"OK","Pārbaudiet klientu sadalījumu pa dzimumiem!")</f>
        <v>OK</v>
      </c>
    </row>
    <row r="16" spans="1:7" ht="15.75" customHeight="1">
      <c r="A16" s="785"/>
      <c r="B16" s="553" t="s">
        <v>219</v>
      </c>
      <c r="C16" s="535"/>
      <c r="D16" s="273" t="s">
        <v>645</v>
      </c>
      <c r="E16" s="225" t="s">
        <v>67</v>
      </c>
      <c r="F16" s="259">
        <v>4</v>
      </c>
      <c r="G16" s="154" t="str">
        <f>IF(F16&lt;=F15,"OK","Bērnu ar invaliditāti skaits pārsniedz kopējo bērnu skaitu!")</f>
        <v>OK</v>
      </c>
    </row>
    <row r="17" spans="1:6" ht="17.25" customHeight="1">
      <c r="A17" s="785"/>
      <c r="B17" s="553" t="s">
        <v>220</v>
      </c>
      <c r="C17" s="535"/>
      <c r="D17" s="271" t="s">
        <v>646</v>
      </c>
      <c r="E17" s="225" t="s">
        <v>67</v>
      </c>
      <c r="F17" s="226">
        <f>F18+F19+F20</f>
        <v>150</v>
      </c>
    </row>
    <row r="18" spans="1:6" ht="15" customHeight="1">
      <c r="A18" s="785"/>
      <c r="B18" s="789" t="s">
        <v>105</v>
      </c>
      <c r="C18" s="225" t="s">
        <v>221</v>
      </c>
      <c r="D18" s="273" t="s">
        <v>647</v>
      </c>
      <c r="E18" s="225" t="s">
        <v>67</v>
      </c>
      <c r="F18" s="259">
        <v>30</v>
      </c>
    </row>
    <row r="19" spans="1:6" ht="15.75" customHeight="1">
      <c r="A19" s="785"/>
      <c r="B19" s="790"/>
      <c r="C19" s="225" t="s">
        <v>222</v>
      </c>
      <c r="D19" s="273" t="s">
        <v>648</v>
      </c>
      <c r="E19" s="225" t="s">
        <v>67</v>
      </c>
      <c r="F19" s="259">
        <v>112</v>
      </c>
    </row>
    <row r="20" spans="1:6" ht="25.5">
      <c r="A20" s="785"/>
      <c r="B20" s="792"/>
      <c r="C20" s="225" t="s">
        <v>223</v>
      </c>
      <c r="D20" s="273" t="s">
        <v>649</v>
      </c>
      <c r="E20" s="225" t="s">
        <v>67</v>
      </c>
      <c r="F20" s="259">
        <v>8</v>
      </c>
    </row>
    <row r="21" spans="1:7" ht="25.5" customHeight="1">
      <c r="A21" s="785"/>
      <c r="B21" s="553" t="s">
        <v>848</v>
      </c>
      <c r="C21" s="535"/>
      <c r="D21" s="271" t="s">
        <v>650</v>
      </c>
      <c r="E21" s="225" t="s">
        <v>67</v>
      </c>
      <c r="F21" s="259">
        <v>14</v>
      </c>
      <c r="G21" s="154" t="str">
        <f>IF(F21&lt;=F17,"OK","Personu skaits, kuras veic darba praktizēšanu pašvaldībās ar stipendiju, ir lielāks kā pilngadīgu darbspējīgu personu skaits!")</f>
        <v>OK</v>
      </c>
    </row>
    <row r="22" spans="1:6" ht="16.5" customHeight="1">
      <c r="A22" s="785"/>
      <c r="B22" s="553" t="s">
        <v>158</v>
      </c>
      <c r="C22" s="535"/>
      <c r="D22" s="271" t="s">
        <v>651</v>
      </c>
      <c r="E22" s="225" t="s">
        <v>67</v>
      </c>
      <c r="F22" s="259">
        <v>43</v>
      </c>
    </row>
    <row r="23" spans="1:6" ht="18" customHeight="1">
      <c r="A23" s="785"/>
      <c r="B23" s="794" t="s">
        <v>160</v>
      </c>
      <c r="C23" s="795"/>
      <c r="D23" s="294" t="s">
        <v>652</v>
      </c>
      <c r="E23" s="293" t="s">
        <v>67</v>
      </c>
      <c r="F23" s="298">
        <v>53</v>
      </c>
    </row>
    <row r="24" spans="1:6" ht="17.25" customHeight="1">
      <c r="A24" s="805" t="s">
        <v>1011</v>
      </c>
      <c r="B24" s="535"/>
      <c r="C24" s="535"/>
      <c r="D24" s="294" t="s">
        <v>1127</v>
      </c>
      <c r="E24" s="225" t="s">
        <v>67</v>
      </c>
      <c r="F24" s="295">
        <f>F25+F26+F27</f>
        <v>0</v>
      </c>
    </row>
    <row r="25" spans="1:6" ht="15" customHeight="1">
      <c r="A25" s="835" t="s">
        <v>170</v>
      </c>
      <c r="B25" s="841" t="s">
        <v>1008</v>
      </c>
      <c r="C25" s="842"/>
      <c r="D25" s="294" t="s">
        <v>1128</v>
      </c>
      <c r="E25" s="225" t="s">
        <v>67</v>
      </c>
      <c r="F25" s="259">
        <v>0</v>
      </c>
    </row>
    <row r="26" spans="1:6" ht="15" customHeight="1">
      <c r="A26" s="843"/>
      <c r="B26" s="296" t="s">
        <v>1009</v>
      </c>
      <c r="C26" s="296"/>
      <c r="D26" s="294" t="s">
        <v>1129</v>
      </c>
      <c r="E26" s="225" t="s">
        <v>67</v>
      </c>
      <c r="F26" s="259">
        <v>0</v>
      </c>
    </row>
    <row r="27" spans="1:6" ht="15" customHeight="1">
      <c r="A27" s="843"/>
      <c r="B27" s="839" t="s">
        <v>1010</v>
      </c>
      <c r="C27" s="840"/>
      <c r="D27" s="294" t="s">
        <v>1130</v>
      </c>
      <c r="E27" s="225" t="s">
        <v>67</v>
      </c>
      <c r="F27" s="259">
        <v>0</v>
      </c>
    </row>
    <row r="28" spans="1:6" ht="30.75" customHeight="1">
      <c r="A28" s="835" t="s">
        <v>984</v>
      </c>
      <c r="B28" s="827"/>
      <c r="C28" s="827"/>
      <c r="D28" s="224" t="s">
        <v>653</v>
      </c>
      <c r="E28" s="277" t="s">
        <v>931</v>
      </c>
      <c r="F28" s="226">
        <f>IF(F10=0,0,F3/F10)</f>
        <v>260.5302670623145</v>
      </c>
    </row>
    <row r="29" spans="1:6" ht="30.75" customHeight="1">
      <c r="A29" s="834" t="s">
        <v>1027</v>
      </c>
      <c r="B29" s="575"/>
      <c r="C29" s="576"/>
      <c r="D29" s="224" t="s">
        <v>1315</v>
      </c>
      <c r="E29" s="277" t="s">
        <v>931</v>
      </c>
      <c r="F29" s="259">
        <v>327.96</v>
      </c>
    </row>
    <row r="30" spans="1:6" ht="30.75" customHeight="1">
      <c r="A30" s="834" t="s">
        <v>1025</v>
      </c>
      <c r="B30" s="575"/>
      <c r="C30" s="576"/>
      <c r="D30" s="224" t="s">
        <v>1316</v>
      </c>
      <c r="E30" s="277" t="s">
        <v>931</v>
      </c>
      <c r="F30" s="259">
        <v>568.06</v>
      </c>
    </row>
    <row r="31" spans="1:6" ht="33.75" customHeight="1">
      <c r="A31" s="834" t="s">
        <v>985</v>
      </c>
      <c r="B31" s="575"/>
      <c r="C31" s="576"/>
      <c r="D31" s="224" t="s">
        <v>562</v>
      </c>
      <c r="E31" s="277" t="s">
        <v>931</v>
      </c>
      <c r="F31" s="226">
        <f>IF(F34=0,0,F28/F34)</f>
        <v>56.14876445308503</v>
      </c>
    </row>
    <row r="32" spans="1:6" ht="33.75" customHeight="1">
      <c r="A32" s="834" t="s">
        <v>1028</v>
      </c>
      <c r="B32" s="575"/>
      <c r="C32" s="576"/>
      <c r="D32" s="224" t="s">
        <v>943</v>
      </c>
      <c r="E32" s="277" t="s">
        <v>931</v>
      </c>
      <c r="F32" s="259">
        <f>ROUND(IF(F35=0,0,F29/F35),2)</f>
        <v>66.66</v>
      </c>
    </row>
    <row r="33" spans="1:6" ht="33.75" customHeight="1">
      <c r="A33" s="834" t="s">
        <v>1026</v>
      </c>
      <c r="B33" s="575"/>
      <c r="C33" s="576"/>
      <c r="D33" s="224" t="s">
        <v>944</v>
      </c>
      <c r="E33" s="277" t="s">
        <v>931</v>
      </c>
      <c r="F33" s="259">
        <f>ROUND(IF(F36=0,0,F30/F36),2)</f>
        <v>128.52</v>
      </c>
    </row>
    <row r="34" spans="1:6" ht="32.25" customHeight="1">
      <c r="A34" s="834" t="s">
        <v>986</v>
      </c>
      <c r="B34" s="575"/>
      <c r="C34" s="576"/>
      <c r="D34" s="224" t="s">
        <v>563</v>
      </c>
      <c r="E34" s="225" t="s">
        <v>806</v>
      </c>
      <c r="F34" s="259">
        <v>4.64</v>
      </c>
    </row>
    <row r="35" spans="1:6" ht="29.25" customHeight="1">
      <c r="A35" s="553" t="s">
        <v>1029</v>
      </c>
      <c r="B35" s="553"/>
      <c r="C35" s="553"/>
      <c r="D35" s="224" t="s">
        <v>1049</v>
      </c>
      <c r="E35" s="225" t="s">
        <v>806</v>
      </c>
      <c r="F35" s="299">
        <v>4.92</v>
      </c>
    </row>
    <row r="36" spans="1:6" ht="24.75" customHeight="1">
      <c r="A36" s="553" t="s">
        <v>1030</v>
      </c>
      <c r="B36" s="553"/>
      <c r="C36" s="553"/>
      <c r="D36" s="224" t="s">
        <v>1050</v>
      </c>
      <c r="E36" s="225" t="s">
        <v>806</v>
      </c>
      <c r="F36" s="299">
        <v>4.42</v>
      </c>
    </row>
  </sheetData>
  <sheetProtection password="CE88" sheet="1" objects="1" scenarios="1"/>
  <mergeCells count="34">
    <mergeCell ref="A34:C34"/>
    <mergeCell ref="A28:C28"/>
    <mergeCell ref="A9:C9"/>
    <mergeCell ref="A29:C29"/>
    <mergeCell ref="A35:C35"/>
    <mergeCell ref="A36:C36"/>
    <mergeCell ref="B27:C27"/>
    <mergeCell ref="B25:C25"/>
    <mergeCell ref="A24:C24"/>
    <mergeCell ref="A25:A27"/>
    <mergeCell ref="B7:C7"/>
    <mergeCell ref="A33:C33"/>
    <mergeCell ref="A11:A14"/>
    <mergeCell ref="A15:A23"/>
    <mergeCell ref="B15:C15"/>
    <mergeCell ref="B16:C16"/>
    <mergeCell ref="A32:C32"/>
    <mergeCell ref="A8:C8"/>
    <mergeCell ref="A31:C31"/>
    <mergeCell ref="B23:C23"/>
    <mergeCell ref="A30:C30"/>
    <mergeCell ref="B11:B12"/>
    <mergeCell ref="B13:B14"/>
    <mergeCell ref="A10:C10"/>
    <mergeCell ref="B17:C17"/>
    <mergeCell ref="B18:B20"/>
    <mergeCell ref="B21:C21"/>
    <mergeCell ref="B22:C22"/>
    <mergeCell ref="A2:C2"/>
    <mergeCell ref="A3:C3"/>
    <mergeCell ref="A4:A5"/>
    <mergeCell ref="B4:C4"/>
    <mergeCell ref="B5:C5"/>
    <mergeCell ref="A6:C6"/>
  </mergeCells>
  <printOptions/>
  <pageMargins left="0.75" right="0.75" top="0.79" bottom="0.68" header="0.31" footer="0.34"/>
  <pageSetup horizontalDpi="1200" verticalDpi="1200" orientation="portrait" paperSize="8" r:id="rId1"/>
  <headerFooter alignWithMargins="0">
    <oddFooter>&amp;R26</oddFooter>
  </headerFooter>
</worksheet>
</file>

<file path=xl/worksheets/sheet21.xml><?xml version="1.0" encoding="utf-8"?>
<worksheet xmlns="http://schemas.openxmlformats.org/spreadsheetml/2006/main" xmlns:r="http://schemas.openxmlformats.org/officeDocument/2006/relationships">
  <dimension ref="A1:P99"/>
  <sheetViews>
    <sheetView zoomScalePageLayoutView="0" workbookViewId="0" topLeftCell="A1">
      <selection activeCell="I9" sqref="I9"/>
    </sheetView>
  </sheetViews>
  <sheetFormatPr defaultColWidth="9.140625" defaultRowHeight="12.75"/>
  <cols>
    <col min="1" max="1" width="9.140625" style="256" customWidth="1"/>
    <col min="2" max="2" width="10.140625" style="256" customWidth="1"/>
    <col min="3" max="3" width="7.57421875" style="256" customWidth="1"/>
    <col min="4" max="4" width="18.57421875" style="256" bestFit="1" customWidth="1"/>
    <col min="5" max="5" width="11.28125" style="257" customWidth="1"/>
    <col min="6" max="6" width="17.7109375" style="238" bestFit="1" customWidth="1"/>
    <col min="7" max="7" width="10.7109375" style="238" customWidth="1"/>
    <col min="8" max="16384" width="9.140625" style="238" customWidth="1"/>
  </cols>
  <sheetData>
    <row r="1" spans="1:7" ht="14.25" thickBot="1">
      <c r="A1" s="863" t="s">
        <v>939</v>
      </c>
      <c r="B1" s="864"/>
      <c r="C1" s="864"/>
      <c r="D1" s="864"/>
      <c r="E1" s="864"/>
      <c r="F1" s="864"/>
      <c r="G1" s="864"/>
    </row>
    <row r="2" spans="1:7" ht="13.5" thickBot="1">
      <c r="A2" s="872" t="s">
        <v>124</v>
      </c>
      <c r="B2" s="873"/>
      <c r="C2" s="873"/>
      <c r="D2" s="874"/>
      <c r="E2" s="108" t="s">
        <v>60</v>
      </c>
      <c r="F2" s="86" t="s">
        <v>61</v>
      </c>
      <c r="G2" s="250" t="s">
        <v>62</v>
      </c>
    </row>
    <row r="3" spans="1:9" ht="12.75" customHeight="1">
      <c r="A3" s="866" t="s">
        <v>235</v>
      </c>
      <c r="B3" s="867"/>
      <c r="C3" s="867"/>
      <c r="D3" s="868"/>
      <c r="E3" s="89" t="s">
        <v>567</v>
      </c>
      <c r="F3" s="249" t="s">
        <v>931</v>
      </c>
      <c r="G3" s="284">
        <f>G27+G36+G39+G63+G75</f>
        <v>182420.81</v>
      </c>
      <c r="H3" s="251" t="str">
        <f>IF(G3=G4+G5,"OK","Pārbaudiet naudā un natūrā izmaksātos dzīvokļa pabalstus")</f>
        <v>OK</v>
      </c>
      <c r="I3" s="252"/>
    </row>
    <row r="4" spans="1:9" ht="12.75">
      <c r="A4" s="865" t="s">
        <v>74</v>
      </c>
      <c r="B4" s="869" t="s">
        <v>216</v>
      </c>
      <c r="C4" s="870"/>
      <c r="D4" s="871"/>
      <c r="E4" s="91" t="s">
        <v>672</v>
      </c>
      <c r="F4" s="248" t="s">
        <v>931</v>
      </c>
      <c r="G4" s="253">
        <v>51654.72</v>
      </c>
      <c r="I4" s="254"/>
    </row>
    <row r="5" spans="1:10" ht="89.25">
      <c r="A5" s="865"/>
      <c r="B5" s="869" t="s">
        <v>217</v>
      </c>
      <c r="C5" s="870"/>
      <c r="D5" s="871"/>
      <c r="E5" s="91" t="s">
        <v>671</v>
      </c>
      <c r="F5" s="248" t="s">
        <v>931</v>
      </c>
      <c r="G5" s="253">
        <v>130766.09</v>
      </c>
      <c r="J5" s="255" t="str">
        <f>IF(SUM(G3:G86)=0,"OK",IF(OR(AND(G15&gt;0,G6&gt;0),AND(G15=0,G6=0)),IF(OR(AND(G16&gt;0,G7&gt;0),AND(G16=0,G7=0)),IF(AND(G3=G4+G5,G3=G27+G36+G39+G63+G75,G6+G7&lt;=G3),IF(AND(OR(MAX(G30,G37,G43,G67,G79)=G9,MAX(G30,G37,G43,G67,G79)&lt;G9),G9&gt;0,G9&lt;=G30+G37+G43+G67+G779),IF(AND(G9&lt;=G10,G13+G14=G25+G26+G20,G11+G12+G13+G14&lt;=G33+G38+G47+G71+G83,G10=G18+G20+G25+G26,G10&lt;=G33+G38+G47+G71+G83,G10&gt;0),"OK","Pārbaudi personas vai ir ievadītas pereizi"),"Pārbaudi Mājsaimniecība vai i ievadītas pareizi"),"Pārbaudi vai nauda ir ievadīta pareizi F3, F4, F5, F6, F7, F27, F36, F39, F63, F75"),"Pārbaudi naudu un personas F16, F7"),"Pārbaudi naudu un personas F15, F6"))</f>
        <v>Pārbaudi Mājsaimniecība vai i ievadītas pareizi</v>
      </c>
    </row>
    <row r="6" spans="1:7" ht="24.75" customHeight="1">
      <c r="A6" s="877" t="s">
        <v>74</v>
      </c>
      <c r="B6" s="844" t="s">
        <v>987</v>
      </c>
      <c r="C6" s="845"/>
      <c r="D6" s="846"/>
      <c r="E6" s="282" t="s">
        <v>654</v>
      </c>
      <c r="F6" s="283" t="s">
        <v>931</v>
      </c>
      <c r="G6" s="301">
        <v>125912.03</v>
      </c>
    </row>
    <row r="7" spans="1:7" ht="23.25" customHeight="1">
      <c r="A7" s="877"/>
      <c r="B7" s="844" t="s">
        <v>980</v>
      </c>
      <c r="C7" s="845"/>
      <c r="D7" s="846"/>
      <c r="E7" s="282" t="s">
        <v>1205</v>
      </c>
      <c r="F7" s="283" t="s">
        <v>931</v>
      </c>
      <c r="G7" s="301">
        <v>50809.79</v>
      </c>
    </row>
    <row r="8" spans="1:7" ht="25.5" customHeight="1">
      <c r="A8" s="877"/>
      <c r="B8" s="844" t="s">
        <v>945</v>
      </c>
      <c r="C8" s="845"/>
      <c r="D8" s="846"/>
      <c r="E8" s="282" t="s">
        <v>1206</v>
      </c>
      <c r="F8" s="283" t="s">
        <v>931</v>
      </c>
      <c r="G8" s="301">
        <v>37668.29</v>
      </c>
    </row>
    <row r="9" spans="1:7" ht="12.75">
      <c r="A9" s="875" t="s">
        <v>983</v>
      </c>
      <c r="B9" s="495"/>
      <c r="C9" s="495"/>
      <c r="D9" s="876"/>
      <c r="E9" s="115" t="s">
        <v>655</v>
      </c>
      <c r="F9" s="85" t="s">
        <v>953</v>
      </c>
      <c r="G9" s="301">
        <v>985</v>
      </c>
    </row>
    <row r="10" spans="1:9" ht="12.75" customHeight="1">
      <c r="A10" s="850" t="s">
        <v>951</v>
      </c>
      <c r="B10" s="845"/>
      <c r="C10" s="845"/>
      <c r="D10" s="846"/>
      <c r="E10" s="115" t="s">
        <v>656</v>
      </c>
      <c r="F10" s="85" t="s">
        <v>67</v>
      </c>
      <c r="G10" s="302">
        <f>G18+G20+G25+G26</f>
        <v>1354</v>
      </c>
      <c r="H10" s="251" t="str">
        <f>IF(G10=G11+G12+G13+G14,"OK","Pārbaudi saņēmēju sadalījunu pa vecumiem un dzimumiem")</f>
        <v>OK</v>
      </c>
      <c r="I10" s="252"/>
    </row>
    <row r="11" spans="1:9" ht="12.75">
      <c r="A11" s="877" t="s">
        <v>105</v>
      </c>
      <c r="B11" s="861" t="s">
        <v>140</v>
      </c>
      <c r="C11" s="844" t="s">
        <v>218</v>
      </c>
      <c r="D11" s="846"/>
      <c r="E11" s="303" t="s">
        <v>657</v>
      </c>
      <c r="F11" s="85" t="s">
        <v>67</v>
      </c>
      <c r="G11" s="301">
        <v>90</v>
      </c>
      <c r="I11" s="254"/>
    </row>
    <row r="12" spans="1:8" ht="12.75">
      <c r="A12" s="877"/>
      <c r="B12" s="861"/>
      <c r="C12" s="844" t="s">
        <v>143</v>
      </c>
      <c r="D12" s="846"/>
      <c r="E12" s="303" t="s">
        <v>658</v>
      </c>
      <c r="F12" s="85" t="s">
        <v>67</v>
      </c>
      <c r="G12" s="301">
        <v>87</v>
      </c>
      <c r="H12" s="251"/>
    </row>
    <row r="13" spans="1:8" ht="12.75">
      <c r="A13" s="878"/>
      <c r="B13" s="861" t="s">
        <v>141</v>
      </c>
      <c r="C13" s="844" t="s">
        <v>218</v>
      </c>
      <c r="D13" s="846"/>
      <c r="E13" s="303" t="s">
        <v>659</v>
      </c>
      <c r="F13" s="85" t="s">
        <v>67</v>
      </c>
      <c r="G13" s="301">
        <v>445</v>
      </c>
      <c r="H13" s="251" t="str">
        <f>IF(G13+G14=G20+G25+G26,"OK","Pārbaudiet klientu sadalījumu pa dzimumiem!")</f>
        <v>OK</v>
      </c>
    </row>
    <row r="14" spans="1:7" ht="12.75">
      <c r="A14" s="878"/>
      <c r="B14" s="861"/>
      <c r="C14" s="844" t="s">
        <v>143</v>
      </c>
      <c r="D14" s="846"/>
      <c r="E14" s="303" t="s">
        <v>660</v>
      </c>
      <c r="F14" s="85" t="s">
        <v>67</v>
      </c>
      <c r="G14" s="301">
        <v>732</v>
      </c>
    </row>
    <row r="15" spans="1:7" ht="24" customHeight="1">
      <c r="A15" s="877" t="s">
        <v>105</v>
      </c>
      <c r="B15" s="844" t="s">
        <v>987</v>
      </c>
      <c r="C15" s="845"/>
      <c r="D15" s="846"/>
      <c r="E15" s="282" t="s">
        <v>661</v>
      </c>
      <c r="F15" s="85" t="s">
        <v>67</v>
      </c>
      <c r="G15" s="301">
        <v>909</v>
      </c>
    </row>
    <row r="16" spans="1:7" ht="24.75" customHeight="1">
      <c r="A16" s="877"/>
      <c r="B16" s="844" t="s">
        <v>980</v>
      </c>
      <c r="C16" s="845"/>
      <c r="D16" s="846"/>
      <c r="E16" s="282" t="s">
        <v>1207</v>
      </c>
      <c r="F16" s="85" t="s">
        <v>67</v>
      </c>
      <c r="G16" s="301">
        <v>459</v>
      </c>
    </row>
    <row r="17" spans="1:7" ht="23.25" customHeight="1">
      <c r="A17" s="877"/>
      <c r="B17" s="844" t="s">
        <v>945</v>
      </c>
      <c r="C17" s="845"/>
      <c r="D17" s="846"/>
      <c r="E17" s="282" t="s">
        <v>1208</v>
      </c>
      <c r="F17" s="85" t="s">
        <v>67</v>
      </c>
      <c r="G17" s="301">
        <v>266</v>
      </c>
    </row>
    <row r="18" spans="1:8" ht="12.75">
      <c r="A18" s="877" t="s">
        <v>105</v>
      </c>
      <c r="B18" s="844" t="s">
        <v>140</v>
      </c>
      <c r="C18" s="845"/>
      <c r="D18" s="846"/>
      <c r="E18" s="115" t="s">
        <v>662</v>
      </c>
      <c r="F18" s="85" t="s">
        <v>67</v>
      </c>
      <c r="G18" s="301">
        <v>177</v>
      </c>
      <c r="H18" s="251" t="str">
        <f>IF(G18=G11+G12,"OK","Pārbaudiet klientu sadalījumu pa dzimumiem!")</f>
        <v>OK</v>
      </c>
    </row>
    <row r="19" spans="1:8" ht="12.75">
      <c r="A19" s="877"/>
      <c r="B19" s="860" t="s">
        <v>946</v>
      </c>
      <c r="C19" s="860"/>
      <c r="D19" s="304" t="s">
        <v>157</v>
      </c>
      <c r="E19" s="282" t="s">
        <v>663</v>
      </c>
      <c r="F19" s="85" t="s">
        <v>67</v>
      </c>
      <c r="G19" s="301">
        <v>14</v>
      </c>
      <c r="H19" s="251" t="str">
        <f>IF(G19&lt;=G18,"OK","Bērnu ar invaliditāti skaits pārsniedz kopējo bērnu skaitu!")</f>
        <v>OK</v>
      </c>
    </row>
    <row r="20" spans="1:7" ht="12.75" customHeight="1">
      <c r="A20" s="877"/>
      <c r="B20" s="844" t="s">
        <v>220</v>
      </c>
      <c r="C20" s="845"/>
      <c r="D20" s="846"/>
      <c r="E20" s="115" t="s">
        <v>664</v>
      </c>
      <c r="F20" s="85" t="s">
        <v>67</v>
      </c>
      <c r="G20" s="302">
        <f>G21+G22+G23</f>
        <v>218</v>
      </c>
    </row>
    <row r="21" spans="1:7" ht="12.75">
      <c r="A21" s="877"/>
      <c r="B21" s="861" t="s">
        <v>105</v>
      </c>
      <c r="C21" s="844" t="s">
        <v>221</v>
      </c>
      <c r="D21" s="846"/>
      <c r="E21" s="282" t="s">
        <v>665</v>
      </c>
      <c r="F21" s="85" t="s">
        <v>67</v>
      </c>
      <c r="G21" s="301">
        <v>51</v>
      </c>
    </row>
    <row r="22" spans="1:7" ht="12.75">
      <c r="A22" s="877"/>
      <c r="B22" s="861"/>
      <c r="C22" s="844" t="s">
        <v>222</v>
      </c>
      <c r="D22" s="846"/>
      <c r="E22" s="282" t="s">
        <v>666</v>
      </c>
      <c r="F22" s="85" t="s">
        <v>67</v>
      </c>
      <c r="G22" s="301">
        <v>151</v>
      </c>
    </row>
    <row r="23" spans="1:7" ht="25.5" customHeight="1">
      <c r="A23" s="877"/>
      <c r="B23" s="861"/>
      <c r="C23" s="844" t="s">
        <v>223</v>
      </c>
      <c r="D23" s="846"/>
      <c r="E23" s="282" t="s">
        <v>667</v>
      </c>
      <c r="F23" s="85" t="s">
        <v>67</v>
      </c>
      <c r="G23" s="301">
        <v>16</v>
      </c>
    </row>
    <row r="24" spans="1:8" ht="40.5" customHeight="1">
      <c r="A24" s="877"/>
      <c r="B24" s="860" t="s">
        <v>946</v>
      </c>
      <c r="C24" s="860"/>
      <c r="D24" s="304" t="s">
        <v>954</v>
      </c>
      <c r="E24" s="115" t="s">
        <v>668</v>
      </c>
      <c r="F24" s="85" t="s">
        <v>67</v>
      </c>
      <c r="G24" s="301">
        <v>17</v>
      </c>
      <c r="H24" s="251" t="str">
        <f>IF(G24&lt;=G20,"OK","Personu skaits, kuras veic darba praktizēšanu pašvaldībās ar stipendiju, ir lielāks kā pilngadīgu darbspējīgu personu skaits!")</f>
        <v>OK</v>
      </c>
    </row>
    <row r="25" spans="1:7" ht="12.75" customHeight="1">
      <c r="A25" s="877"/>
      <c r="B25" s="844" t="s">
        <v>158</v>
      </c>
      <c r="C25" s="845"/>
      <c r="D25" s="846"/>
      <c r="E25" s="115" t="s">
        <v>669</v>
      </c>
      <c r="F25" s="85" t="s">
        <v>67</v>
      </c>
      <c r="G25" s="301">
        <v>234</v>
      </c>
    </row>
    <row r="26" spans="1:7" ht="12.75">
      <c r="A26" s="877"/>
      <c r="B26" s="844" t="s">
        <v>160</v>
      </c>
      <c r="C26" s="845"/>
      <c r="D26" s="846"/>
      <c r="E26" s="115" t="s">
        <v>670</v>
      </c>
      <c r="F26" s="85" t="s">
        <v>67</v>
      </c>
      <c r="G26" s="301">
        <v>725</v>
      </c>
    </row>
    <row r="27" spans="1:7" ht="12.75">
      <c r="A27" s="857" t="s">
        <v>122</v>
      </c>
      <c r="B27" s="854" t="s">
        <v>1067</v>
      </c>
      <c r="C27" s="844" t="s">
        <v>138</v>
      </c>
      <c r="D27" s="846"/>
      <c r="E27" s="115" t="s">
        <v>1132</v>
      </c>
      <c r="F27" s="85" t="s">
        <v>931</v>
      </c>
      <c r="G27" s="305">
        <f>G28+G29</f>
        <v>27979.45</v>
      </c>
    </row>
    <row r="28" spans="1:7" ht="25.5" customHeight="1">
      <c r="A28" s="858"/>
      <c r="B28" s="855"/>
      <c r="C28" s="851" t="s">
        <v>74</v>
      </c>
      <c r="D28" s="300" t="s">
        <v>978</v>
      </c>
      <c r="E28" s="115" t="s">
        <v>1160</v>
      </c>
      <c r="F28" s="85" t="s">
        <v>931</v>
      </c>
      <c r="G28" s="301">
        <v>26870.29</v>
      </c>
    </row>
    <row r="29" spans="1:7" ht="38.25">
      <c r="A29" s="858"/>
      <c r="B29" s="855"/>
      <c r="C29" s="853"/>
      <c r="D29" s="300" t="s">
        <v>1072</v>
      </c>
      <c r="E29" s="115" t="s">
        <v>1161</v>
      </c>
      <c r="F29" s="85" t="s">
        <v>931</v>
      </c>
      <c r="G29" s="301">
        <v>1109.16</v>
      </c>
    </row>
    <row r="30" spans="1:7" ht="12.75">
      <c r="A30" s="858"/>
      <c r="B30" s="855"/>
      <c r="C30" s="844" t="s">
        <v>979</v>
      </c>
      <c r="D30" s="846"/>
      <c r="E30" s="115" t="s">
        <v>1133</v>
      </c>
      <c r="F30" s="85" t="s">
        <v>953</v>
      </c>
      <c r="G30" s="305">
        <f>G31+G32</f>
        <v>162</v>
      </c>
    </row>
    <row r="31" spans="1:7" ht="25.5">
      <c r="A31" s="858"/>
      <c r="B31" s="855"/>
      <c r="C31" s="851" t="s">
        <v>105</v>
      </c>
      <c r="D31" s="300" t="s">
        <v>978</v>
      </c>
      <c r="E31" s="115" t="s">
        <v>1162</v>
      </c>
      <c r="F31" s="85" t="s">
        <v>953</v>
      </c>
      <c r="G31" s="301">
        <v>153</v>
      </c>
    </row>
    <row r="32" spans="1:7" ht="38.25">
      <c r="A32" s="858"/>
      <c r="B32" s="855"/>
      <c r="C32" s="853"/>
      <c r="D32" s="300" t="s">
        <v>1072</v>
      </c>
      <c r="E32" s="115" t="s">
        <v>1163</v>
      </c>
      <c r="F32" s="85" t="s">
        <v>953</v>
      </c>
      <c r="G32" s="301">
        <v>9</v>
      </c>
    </row>
    <row r="33" spans="1:7" ht="12.75">
      <c r="A33" s="858"/>
      <c r="B33" s="855"/>
      <c r="C33" s="844" t="s">
        <v>950</v>
      </c>
      <c r="D33" s="846"/>
      <c r="E33" s="115" t="s">
        <v>1134</v>
      </c>
      <c r="F33" s="85" t="s">
        <v>67</v>
      </c>
      <c r="G33" s="305">
        <f>G34+G35</f>
        <v>245</v>
      </c>
    </row>
    <row r="34" spans="1:7" ht="25.5">
      <c r="A34" s="858"/>
      <c r="B34" s="855"/>
      <c r="C34" s="851" t="s">
        <v>105</v>
      </c>
      <c r="D34" s="300" t="s">
        <v>978</v>
      </c>
      <c r="E34" s="115" t="s">
        <v>1164</v>
      </c>
      <c r="F34" s="85" t="s">
        <v>67</v>
      </c>
      <c r="G34" s="301">
        <v>233</v>
      </c>
    </row>
    <row r="35" spans="1:7" ht="38.25">
      <c r="A35" s="858"/>
      <c r="B35" s="856"/>
      <c r="C35" s="853"/>
      <c r="D35" s="300" t="s">
        <v>1072</v>
      </c>
      <c r="E35" s="115" t="s">
        <v>1165</v>
      </c>
      <c r="F35" s="85" t="s">
        <v>67</v>
      </c>
      <c r="G35" s="301">
        <v>12</v>
      </c>
    </row>
    <row r="36" spans="1:7" ht="12.75">
      <c r="A36" s="858"/>
      <c r="B36" s="861" t="s">
        <v>1075</v>
      </c>
      <c r="C36" s="844" t="s">
        <v>138</v>
      </c>
      <c r="D36" s="846"/>
      <c r="E36" s="115" t="s">
        <v>1135</v>
      </c>
      <c r="F36" s="85" t="s">
        <v>931</v>
      </c>
      <c r="G36" s="301">
        <v>0</v>
      </c>
    </row>
    <row r="37" spans="1:7" ht="12.75">
      <c r="A37" s="858"/>
      <c r="B37" s="861"/>
      <c r="C37" s="844" t="s">
        <v>979</v>
      </c>
      <c r="D37" s="846"/>
      <c r="E37" s="115" t="s">
        <v>1166</v>
      </c>
      <c r="F37" s="85" t="s">
        <v>953</v>
      </c>
      <c r="G37" s="301">
        <v>0</v>
      </c>
    </row>
    <row r="38" spans="1:7" ht="24.75" customHeight="1">
      <c r="A38" s="858"/>
      <c r="B38" s="861"/>
      <c r="C38" s="844" t="s">
        <v>950</v>
      </c>
      <c r="D38" s="846"/>
      <c r="E38" s="115" t="s">
        <v>1167</v>
      </c>
      <c r="F38" s="85" t="s">
        <v>67</v>
      </c>
      <c r="G38" s="301">
        <v>0</v>
      </c>
    </row>
    <row r="39" spans="1:9" ht="12.75">
      <c r="A39" s="858"/>
      <c r="B39" s="854" t="s">
        <v>1068</v>
      </c>
      <c r="C39" s="844" t="s">
        <v>138</v>
      </c>
      <c r="D39" s="846"/>
      <c r="E39" s="115" t="s">
        <v>1136</v>
      </c>
      <c r="F39" s="283" t="s">
        <v>931</v>
      </c>
      <c r="G39" s="305">
        <f>G40+G41+G42</f>
        <v>132210.53999999998</v>
      </c>
      <c r="I39" s="238" t="str">
        <f>IF(G39&gt;=G51,"OK","Šeit jāiekļauj arī cietais kurināmais")</f>
        <v>OK</v>
      </c>
    </row>
    <row r="40" spans="1:9" ht="12.75">
      <c r="A40" s="858"/>
      <c r="B40" s="855"/>
      <c r="C40" s="851" t="s">
        <v>74</v>
      </c>
      <c r="D40" s="300" t="s">
        <v>952</v>
      </c>
      <c r="E40" s="115" t="s">
        <v>1168</v>
      </c>
      <c r="F40" s="283" t="s">
        <v>931</v>
      </c>
      <c r="G40" s="301">
        <v>53805.24</v>
      </c>
      <c r="I40" s="238" t="str">
        <f aca="true" t="shared" si="0" ref="I40:I49">IF(G40&gt;=G52,"OK","Šeit jāiekļauj arī cietais kurināmais")</f>
        <v>OK</v>
      </c>
    </row>
    <row r="41" spans="1:9" ht="25.5">
      <c r="A41" s="858"/>
      <c r="B41" s="855"/>
      <c r="C41" s="852"/>
      <c r="D41" s="300" t="s">
        <v>978</v>
      </c>
      <c r="E41" s="115" t="s">
        <v>1169</v>
      </c>
      <c r="F41" s="283" t="s">
        <v>931</v>
      </c>
      <c r="G41" s="301">
        <v>76725.28</v>
      </c>
      <c r="I41" s="238" t="str">
        <f t="shared" si="0"/>
        <v>OK</v>
      </c>
    </row>
    <row r="42" spans="1:9" ht="38.25">
      <c r="A42" s="858"/>
      <c r="B42" s="855"/>
      <c r="C42" s="853"/>
      <c r="D42" s="300" t="s">
        <v>1072</v>
      </c>
      <c r="E42" s="115" t="s">
        <v>1170</v>
      </c>
      <c r="F42" s="283" t="s">
        <v>931</v>
      </c>
      <c r="G42" s="301">
        <v>1680.02</v>
      </c>
      <c r="I42" s="238" t="str">
        <f t="shared" si="0"/>
        <v>OK</v>
      </c>
    </row>
    <row r="43" spans="1:9" ht="12.75">
      <c r="A43" s="858"/>
      <c r="B43" s="855"/>
      <c r="C43" s="844" t="s">
        <v>979</v>
      </c>
      <c r="D43" s="846"/>
      <c r="E43" s="115" t="s">
        <v>1137</v>
      </c>
      <c r="F43" s="85" t="s">
        <v>953</v>
      </c>
      <c r="G43" s="305">
        <f>G44+G45+G46</f>
        <v>735</v>
      </c>
      <c r="I43" s="238" t="str">
        <f t="shared" si="0"/>
        <v>OK</v>
      </c>
    </row>
    <row r="44" spans="1:9" ht="12.75">
      <c r="A44" s="858"/>
      <c r="B44" s="855"/>
      <c r="C44" s="851" t="s">
        <v>105</v>
      </c>
      <c r="D44" s="300" t="s">
        <v>952</v>
      </c>
      <c r="E44" s="115" t="s">
        <v>1171</v>
      </c>
      <c r="F44" s="85" t="s">
        <v>953</v>
      </c>
      <c r="G44" s="301">
        <v>300</v>
      </c>
      <c r="I44" s="238" t="str">
        <f t="shared" si="0"/>
        <v>OK</v>
      </c>
    </row>
    <row r="45" spans="1:9" ht="25.5">
      <c r="A45" s="858"/>
      <c r="B45" s="855"/>
      <c r="C45" s="852"/>
      <c r="D45" s="300" t="s">
        <v>978</v>
      </c>
      <c r="E45" s="115" t="s">
        <v>1172</v>
      </c>
      <c r="F45" s="85" t="s">
        <v>953</v>
      </c>
      <c r="G45" s="301">
        <v>424</v>
      </c>
      <c r="I45" s="238" t="str">
        <f t="shared" si="0"/>
        <v>OK</v>
      </c>
    </row>
    <row r="46" spans="1:9" ht="38.25">
      <c r="A46" s="858"/>
      <c r="B46" s="855"/>
      <c r="C46" s="853"/>
      <c r="D46" s="300" t="s">
        <v>1072</v>
      </c>
      <c r="E46" s="115" t="s">
        <v>1173</v>
      </c>
      <c r="F46" s="85" t="s">
        <v>953</v>
      </c>
      <c r="G46" s="301">
        <v>11</v>
      </c>
      <c r="I46" s="238" t="str">
        <f t="shared" si="0"/>
        <v>OK</v>
      </c>
    </row>
    <row r="47" spans="1:9" ht="13.5" customHeight="1">
      <c r="A47" s="858"/>
      <c r="B47" s="855"/>
      <c r="C47" s="844" t="s">
        <v>950</v>
      </c>
      <c r="D47" s="846"/>
      <c r="E47" s="115" t="s">
        <v>1138</v>
      </c>
      <c r="F47" s="85" t="s">
        <v>67</v>
      </c>
      <c r="G47" s="305">
        <f>G48+G49+G50</f>
        <v>1007</v>
      </c>
      <c r="I47" s="238" t="str">
        <f t="shared" si="0"/>
        <v>OK</v>
      </c>
    </row>
    <row r="48" spans="1:9" ht="13.5" customHeight="1">
      <c r="A48" s="858"/>
      <c r="B48" s="855"/>
      <c r="C48" s="851" t="s">
        <v>105</v>
      </c>
      <c r="D48" s="300" t="s">
        <v>952</v>
      </c>
      <c r="E48" s="115" t="s">
        <v>1174</v>
      </c>
      <c r="F48" s="85" t="s">
        <v>67</v>
      </c>
      <c r="G48" s="301">
        <v>404</v>
      </c>
      <c r="I48" s="238" t="str">
        <f t="shared" si="0"/>
        <v>OK</v>
      </c>
    </row>
    <row r="49" spans="1:9" ht="25.5">
      <c r="A49" s="858"/>
      <c r="B49" s="855"/>
      <c r="C49" s="852"/>
      <c r="D49" s="300" t="s">
        <v>978</v>
      </c>
      <c r="E49" s="115" t="s">
        <v>1175</v>
      </c>
      <c r="F49" s="85" t="s">
        <v>67</v>
      </c>
      <c r="G49" s="301">
        <v>586</v>
      </c>
      <c r="I49" s="238" t="str">
        <f t="shared" si="0"/>
        <v>OK</v>
      </c>
    </row>
    <row r="50" spans="1:9" ht="38.25">
      <c r="A50" s="858"/>
      <c r="B50" s="856"/>
      <c r="C50" s="853"/>
      <c r="D50" s="300" t="s">
        <v>1072</v>
      </c>
      <c r="E50" s="115" t="s">
        <v>1176</v>
      </c>
      <c r="F50" s="85" t="s">
        <v>67</v>
      </c>
      <c r="G50" s="301">
        <v>17</v>
      </c>
      <c r="I50" s="238" t="str">
        <f>IF(G50&gt;=G62,"OK","Šeit jāiekļauj arī cietais kurināmais")</f>
        <v>OK</v>
      </c>
    </row>
    <row r="51" spans="1:7" ht="12.75">
      <c r="A51" s="858"/>
      <c r="B51" s="847" t="s">
        <v>946</v>
      </c>
      <c r="C51" s="861" t="s">
        <v>1069</v>
      </c>
      <c r="D51" s="85" t="s">
        <v>138</v>
      </c>
      <c r="E51" s="115" t="s">
        <v>1139</v>
      </c>
      <c r="F51" s="283" t="s">
        <v>931</v>
      </c>
      <c r="G51" s="305">
        <f>G52+G53+G54</f>
        <v>132210.53999999998</v>
      </c>
    </row>
    <row r="52" spans="1:9" ht="25.5">
      <c r="A52" s="858"/>
      <c r="B52" s="848"/>
      <c r="C52" s="861"/>
      <c r="D52" s="85" t="s">
        <v>1018</v>
      </c>
      <c r="E52" s="115" t="s">
        <v>1177</v>
      </c>
      <c r="F52" s="283" t="s">
        <v>931</v>
      </c>
      <c r="G52" s="301">
        <v>53805.24</v>
      </c>
      <c r="I52" s="262"/>
    </row>
    <row r="53" spans="1:9" ht="25.5">
      <c r="A53" s="858"/>
      <c r="B53" s="848"/>
      <c r="C53" s="861"/>
      <c r="D53" s="85" t="s">
        <v>1019</v>
      </c>
      <c r="E53" s="115" t="s">
        <v>1178</v>
      </c>
      <c r="F53" s="283" t="s">
        <v>931</v>
      </c>
      <c r="G53" s="301">
        <v>76725.28</v>
      </c>
      <c r="I53" s="262"/>
    </row>
    <row r="54" spans="1:9" ht="38.25">
      <c r="A54" s="858"/>
      <c r="B54" s="848"/>
      <c r="C54" s="861"/>
      <c r="D54" s="85" t="s">
        <v>1073</v>
      </c>
      <c r="E54" s="115" t="s">
        <v>1179</v>
      </c>
      <c r="F54" s="283" t="s">
        <v>931</v>
      </c>
      <c r="G54" s="301">
        <v>1680.02</v>
      </c>
      <c r="I54" s="262"/>
    </row>
    <row r="55" spans="1:7" ht="12.75">
      <c r="A55" s="858"/>
      <c r="B55" s="848"/>
      <c r="C55" s="861"/>
      <c r="D55" s="304" t="s">
        <v>979</v>
      </c>
      <c r="E55" s="115" t="s">
        <v>1140</v>
      </c>
      <c r="F55" s="85" t="s">
        <v>953</v>
      </c>
      <c r="G55" s="305">
        <f>G56+G57+G58</f>
        <v>735</v>
      </c>
    </row>
    <row r="56" spans="1:9" ht="25.5">
      <c r="A56" s="858"/>
      <c r="B56" s="848"/>
      <c r="C56" s="861"/>
      <c r="D56" s="304" t="s">
        <v>1020</v>
      </c>
      <c r="E56" s="115" t="s">
        <v>1180</v>
      </c>
      <c r="F56" s="85" t="s">
        <v>953</v>
      </c>
      <c r="G56" s="301">
        <v>300</v>
      </c>
      <c r="I56" s="262"/>
    </row>
    <row r="57" spans="1:9" ht="25.5">
      <c r="A57" s="858"/>
      <c r="B57" s="848"/>
      <c r="C57" s="861"/>
      <c r="D57" s="304" t="s">
        <v>1021</v>
      </c>
      <c r="E57" s="115" t="s">
        <v>1181</v>
      </c>
      <c r="F57" s="85" t="s">
        <v>953</v>
      </c>
      <c r="G57" s="301">
        <v>424</v>
      </c>
      <c r="I57" s="262"/>
    </row>
    <row r="58" spans="1:9" ht="38.25">
      <c r="A58" s="858"/>
      <c r="B58" s="848"/>
      <c r="C58" s="861"/>
      <c r="D58" s="304" t="s">
        <v>1074</v>
      </c>
      <c r="E58" s="115" t="s">
        <v>1182</v>
      </c>
      <c r="F58" s="85" t="s">
        <v>953</v>
      </c>
      <c r="G58" s="301">
        <v>11</v>
      </c>
      <c r="I58" s="262"/>
    </row>
    <row r="59" spans="1:7" ht="25.5">
      <c r="A59" s="858"/>
      <c r="B59" s="848"/>
      <c r="C59" s="861"/>
      <c r="D59" s="304" t="s">
        <v>950</v>
      </c>
      <c r="E59" s="115" t="s">
        <v>1141</v>
      </c>
      <c r="F59" s="85" t="s">
        <v>67</v>
      </c>
      <c r="G59" s="305">
        <f>G60+G61+G62</f>
        <v>1007</v>
      </c>
    </row>
    <row r="60" spans="1:7" ht="25.5">
      <c r="A60" s="858"/>
      <c r="B60" s="848"/>
      <c r="C60" s="861"/>
      <c r="D60" s="304" t="s">
        <v>1020</v>
      </c>
      <c r="E60" s="115" t="s">
        <v>1183</v>
      </c>
      <c r="F60" s="85" t="s">
        <v>67</v>
      </c>
      <c r="G60" s="301">
        <v>404</v>
      </c>
    </row>
    <row r="61" spans="1:7" ht="25.5">
      <c r="A61" s="858"/>
      <c r="B61" s="848"/>
      <c r="C61" s="861"/>
      <c r="D61" s="304" t="s">
        <v>1021</v>
      </c>
      <c r="E61" s="115" t="s">
        <v>1184</v>
      </c>
      <c r="F61" s="85" t="s">
        <v>67</v>
      </c>
      <c r="G61" s="301">
        <v>586</v>
      </c>
    </row>
    <row r="62" spans="1:7" ht="38.25">
      <c r="A62" s="858"/>
      <c r="B62" s="849"/>
      <c r="C62" s="861"/>
      <c r="D62" s="304" t="s">
        <v>1074</v>
      </c>
      <c r="E62" s="115" t="s">
        <v>1185</v>
      </c>
      <c r="F62" s="85" t="s">
        <v>67</v>
      </c>
      <c r="G62" s="301">
        <v>17</v>
      </c>
    </row>
    <row r="63" spans="1:7" ht="12.75">
      <c r="A63" s="858"/>
      <c r="B63" s="854" t="s">
        <v>1070</v>
      </c>
      <c r="C63" s="860" t="s">
        <v>138</v>
      </c>
      <c r="D63" s="860"/>
      <c r="E63" s="115" t="s">
        <v>1142</v>
      </c>
      <c r="F63" s="85" t="s">
        <v>931</v>
      </c>
      <c r="G63" s="305">
        <f>G64+G65+G66</f>
        <v>0</v>
      </c>
    </row>
    <row r="64" spans="1:7" ht="12.75">
      <c r="A64" s="858"/>
      <c r="B64" s="855"/>
      <c r="C64" s="851" t="s">
        <v>74</v>
      </c>
      <c r="D64" s="300" t="s">
        <v>952</v>
      </c>
      <c r="E64" s="115" t="s">
        <v>1186</v>
      </c>
      <c r="F64" s="85" t="s">
        <v>931</v>
      </c>
      <c r="G64" s="301">
        <v>0</v>
      </c>
    </row>
    <row r="65" spans="1:7" ht="25.5">
      <c r="A65" s="858"/>
      <c r="B65" s="855"/>
      <c r="C65" s="852"/>
      <c r="D65" s="300" t="s">
        <v>978</v>
      </c>
      <c r="E65" s="115" t="s">
        <v>1187</v>
      </c>
      <c r="F65" s="85" t="s">
        <v>931</v>
      </c>
      <c r="G65" s="301">
        <v>0</v>
      </c>
    </row>
    <row r="66" spans="1:7" ht="38.25">
      <c r="A66" s="858"/>
      <c r="B66" s="855"/>
      <c r="C66" s="853"/>
      <c r="D66" s="300" t="s">
        <v>1072</v>
      </c>
      <c r="E66" s="115" t="s">
        <v>1188</v>
      </c>
      <c r="F66" s="85" t="s">
        <v>931</v>
      </c>
      <c r="G66" s="301">
        <v>0</v>
      </c>
    </row>
    <row r="67" spans="1:7" ht="12.75">
      <c r="A67" s="858"/>
      <c r="B67" s="855"/>
      <c r="C67" s="844" t="s">
        <v>979</v>
      </c>
      <c r="D67" s="846"/>
      <c r="E67" s="115" t="s">
        <v>1143</v>
      </c>
      <c r="F67" s="85" t="s">
        <v>953</v>
      </c>
      <c r="G67" s="305">
        <f>G68+G69+G70</f>
        <v>0</v>
      </c>
    </row>
    <row r="68" spans="1:7" ht="12.75">
      <c r="A68" s="858"/>
      <c r="B68" s="855"/>
      <c r="C68" s="851" t="s">
        <v>105</v>
      </c>
      <c r="D68" s="300" t="s">
        <v>952</v>
      </c>
      <c r="E68" s="115" t="s">
        <v>1189</v>
      </c>
      <c r="F68" s="85" t="s">
        <v>953</v>
      </c>
      <c r="G68" s="301">
        <v>0</v>
      </c>
    </row>
    <row r="69" spans="1:7" ht="25.5">
      <c r="A69" s="858"/>
      <c r="B69" s="855"/>
      <c r="C69" s="852"/>
      <c r="D69" s="300" t="s">
        <v>978</v>
      </c>
      <c r="E69" s="115" t="s">
        <v>1190</v>
      </c>
      <c r="F69" s="85" t="s">
        <v>953</v>
      </c>
      <c r="G69" s="301">
        <v>0</v>
      </c>
    </row>
    <row r="70" spans="1:7" ht="38.25">
      <c r="A70" s="858"/>
      <c r="B70" s="855"/>
      <c r="C70" s="853"/>
      <c r="D70" s="300" t="s">
        <v>1072</v>
      </c>
      <c r="E70" s="115" t="s">
        <v>1191</v>
      </c>
      <c r="F70" s="85" t="s">
        <v>953</v>
      </c>
      <c r="G70" s="301">
        <v>0</v>
      </c>
    </row>
    <row r="71" spans="1:7" ht="12.75">
      <c r="A71" s="858"/>
      <c r="B71" s="855"/>
      <c r="C71" s="844" t="s">
        <v>950</v>
      </c>
      <c r="D71" s="846"/>
      <c r="E71" s="115" t="s">
        <v>1144</v>
      </c>
      <c r="F71" s="85" t="s">
        <v>67</v>
      </c>
      <c r="G71" s="305">
        <f>G72+G73+G74</f>
        <v>0</v>
      </c>
    </row>
    <row r="72" spans="1:7" ht="12.75">
      <c r="A72" s="858"/>
      <c r="B72" s="855"/>
      <c r="C72" s="851" t="s">
        <v>105</v>
      </c>
      <c r="D72" s="300" t="s">
        <v>952</v>
      </c>
      <c r="E72" s="115" t="s">
        <v>1192</v>
      </c>
      <c r="F72" s="85" t="s">
        <v>67</v>
      </c>
      <c r="G72" s="301">
        <v>0</v>
      </c>
    </row>
    <row r="73" spans="1:7" ht="25.5">
      <c r="A73" s="858"/>
      <c r="B73" s="855"/>
      <c r="C73" s="852"/>
      <c r="D73" s="300" t="s">
        <v>978</v>
      </c>
      <c r="E73" s="115" t="s">
        <v>1193</v>
      </c>
      <c r="F73" s="85" t="s">
        <v>67</v>
      </c>
      <c r="G73" s="301">
        <v>0</v>
      </c>
    </row>
    <row r="74" spans="1:7" ht="38.25">
      <c r="A74" s="858"/>
      <c r="B74" s="856"/>
      <c r="C74" s="853"/>
      <c r="D74" s="300" t="s">
        <v>1072</v>
      </c>
      <c r="E74" s="115" t="s">
        <v>1194</v>
      </c>
      <c r="F74" s="85" t="s">
        <v>67</v>
      </c>
      <c r="G74" s="301">
        <v>0</v>
      </c>
    </row>
    <row r="75" spans="1:7" ht="12.75">
      <c r="A75" s="858"/>
      <c r="B75" s="861" t="s">
        <v>1071</v>
      </c>
      <c r="C75" s="844" t="s">
        <v>138</v>
      </c>
      <c r="D75" s="846"/>
      <c r="E75" s="115" t="s">
        <v>1145</v>
      </c>
      <c r="F75" s="283" t="s">
        <v>931</v>
      </c>
      <c r="G75" s="305">
        <f>G76+G77+G78</f>
        <v>22230.82</v>
      </c>
    </row>
    <row r="76" spans="1:7" ht="12.75">
      <c r="A76" s="858"/>
      <c r="B76" s="861"/>
      <c r="C76" s="851" t="s">
        <v>74</v>
      </c>
      <c r="D76" s="300" t="s">
        <v>952</v>
      </c>
      <c r="E76" s="115" t="s">
        <v>1195</v>
      </c>
      <c r="F76" s="283" t="s">
        <v>931</v>
      </c>
      <c r="G76" s="301">
        <v>22230.82</v>
      </c>
    </row>
    <row r="77" spans="1:7" ht="25.5">
      <c r="A77" s="858"/>
      <c r="B77" s="861"/>
      <c r="C77" s="852"/>
      <c r="D77" s="300" t="s">
        <v>978</v>
      </c>
      <c r="E77" s="115" t="s">
        <v>1196</v>
      </c>
      <c r="F77" s="283" t="s">
        <v>931</v>
      </c>
      <c r="G77" s="301">
        <v>0</v>
      </c>
    </row>
    <row r="78" spans="1:7" ht="38.25">
      <c r="A78" s="858"/>
      <c r="B78" s="861"/>
      <c r="C78" s="853"/>
      <c r="D78" s="300" t="s">
        <v>1072</v>
      </c>
      <c r="E78" s="115" t="s">
        <v>1197</v>
      </c>
      <c r="F78" s="283" t="s">
        <v>931</v>
      </c>
      <c r="G78" s="301">
        <v>0</v>
      </c>
    </row>
    <row r="79" spans="1:7" ht="12.75">
      <c r="A79" s="858"/>
      <c r="B79" s="861"/>
      <c r="C79" s="844" t="s">
        <v>979</v>
      </c>
      <c r="D79" s="846"/>
      <c r="E79" s="115" t="s">
        <v>1146</v>
      </c>
      <c r="F79" s="85" t="s">
        <v>953</v>
      </c>
      <c r="G79" s="305">
        <f>G80+G81+G82</f>
        <v>156</v>
      </c>
    </row>
    <row r="80" spans="1:7" ht="12.75">
      <c r="A80" s="858"/>
      <c r="B80" s="861"/>
      <c r="C80" s="851" t="s">
        <v>105</v>
      </c>
      <c r="D80" s="300" t="s">
        <v>952</v>
      </c>
      <c r="E80" s="115" t="s">
        <v>1198</v>
      </c>
      <c r="F80" s="85" t="s">
        <v>953</v>
      </c>
      <c r="G80" s="301">
        <v>156</v>
      </c>
    </row>
    <row r="81" spans="1:7" ht="25.5">
      <c r="A81" s="858"/>
      <c r="B81" s="861"/>
      <c r="C81" s="852"/>
      <c r="D81" s="300" t="s">
        <v>978</v>
      </c>
      <c r="E81" s="115" t="s">
        <v>1199</v>
      </c>
      <c r="F81" s="85" t="s">
        <v>953</v>
      </c>
      <c r="G81" s="301">
        <v>0</v>
      </c>
    </row>
    <row r="82" spans="1:7" ht="38.25">
      <c r="A82" s="858"/>
      <c r="B82" s="861"/>
      <c r="C82" s="853"/>
      <c r="D82" s="300" t="s">
        <v>1072</v>
      </c>
      <c r="E82" s="115" t="s">
        <v>1200</v>
      </c>
      <c r="F82" s="85" t="s">
        <v>953</v>
      </c>
      <c r="G82" s="301">
        <v>0</v>
      </c>
    </row>
    <row r="83" spans="1:7" ht="13.5" thickBot="1">
      <c r="A83" s="858"/>
      <c r="B83" s="861"/>
      <c r="C83" s="844" t="s">
        <v>950</v>
      </c>
      <c r="D83" s="846"/>
      <c r="E83" s="115" t="s">
        <v>1147</v>
      </c>
      <c r="F83" s="87" t="s">
        <v>67</v>
      </c>
      <c r="G83" s="305">
        <f>G84+G85+G86</f>
        <v>218</v>
      </c>
    </row>
    <row r="84" spans="1:7" ht="13.5" thickBot="1">
      <c r="A84" s="858"/>
      <c r="B84" s="861"/>
      <c r="C84" s="851" t="s">
        <v>105</v>
      </c>
      <c r="D84" s="300" t="s">
        <v>952</v>
      </c>
      <c r="E84" s="115" t="s">
        <v>1201</v>
      </c>
      <c r="F84" s="87" t="s">
        <v>67</v>
      </c>
      <c r="G84" s="301">
        <v>218</v>
      </c>
    </row>
    <row r="85" spans="1:7" ht="26.25" thickBot="1">
      <c r="A85" s="858"/>
      <c r="B85" s="854"/>
      <c r="C85" s="852"/>
      <c r="D85" s="300" t="s">
        <v>978</v>
      </c>
      <c r="E85" s="115" t="s">
        <v>1202</v>
      </c>
      <c r="F85" s="87" t="s">
        <v>67</v>
      </c>
      <c r="G85" s="301">
        <v>0</v>
      </c>
    </row>
    <row r="86" spans="1:7" ht="39" thickBot="1">
      <c r="A86" s="859"/>
      <c r="B86" s="862"/>
      <c r="C86" s="853"/>
      <c r="D86" s="300" t="s">
        <v>1072</v>
      </c>
      <c r="E86" s="115" t="s">
        <v>1203</v>
      </c>
      <c r="F86" s="87" t="s">
        <v>67</v>
      </c>
      <c r="G86" s="301">
        <v>0</v>
      </c>
    </row>
    <row r="87" spans="1:16" ht="12.75">
      <c r="A87" s="850" t="s">
        <v>1011</v>
      </c>
      <c r="B87" s="845"/>
      <c r="C87" s="845"/>
      <c r="D87" s="846"/>
      <c r="E87" s="115" t="s">
        <v>1131</v>
      </c>
      <c r="F87" s="85" t="s">
        <v>67</v>
      </c>
      <c r="G87" s="302">
        <f>G89+G90+G88</f>
        <v>0</v>
      </c>
      <c r="J87" s="264"/>
      <c r="K87" s="263"/>
      <c r="L87" s="263"/>
      <c r="M87" s="263"/>
      <c r="N87" s="263"/>
      <c r="O87" s="263"/>
      <c r="P87" s="263"/>
    </row>
    <row r="88" spans="1:16" ht="29.25" customHeight="1">
      <c r="A88" s="885" t="s">
        <v>170</v>
      </c>
      <c r="B88" s="288" t="s">
        <v>1008</v>
      </c>
      <c r="C88" s="306"/>
      <c r="D88" s="300"/>
      <c r="E88" s="115" t="s">
        <v>1157</v>
      </c>
      <c r="F88" s="85" t="s">
        <v>67</v>
      </c>
      <c r="G88" s="301">
        <v>0</v>
      </c>
      <c r="J88" s="264"/>
      <c r="K88" s="263"/>
      <c r="L88" s="263"/>
      <c r="M88" s="263"/>
      <c r="N88" s="263"/>
      <c r="O88" s="263"/>
      <c r="P88" s="263"/>
    </row>
    <row r="89" spans="1:16" ht="32.25" customHeight="1">
      <c r="A89" s="886"/>
      <c r="B89" s="192" t="s">
        <v>1009</v>
      </c>
      <c r="C89" s="192"/>
      <c r="D89" s="300"/>
      <c r="E89" s="115" t="s">
        <v>1158</v>
      </c>
      <c r="F89" s="85" t="s">
        <v>67</v>
      </c>
      <c r="G89" s="301">
        <v>0</v>
      </c>
      <c r="J89" s="264"/>
      <c r="K89" s="263"/>
      <c r="L89" s="263"/>
      <c r="M89" s="263"/>
      <c r="N89" s="263"/>
      <c r="O89" s="263"/>
      <c r="P89" s="263"/>
    </row>
    <row r="90" spans="1:16" ht="12.75">
      <c r="A90" s="887"/>
      <c r="B90" s="879" t="s">
        <v>1010</v>
      </c>
      <c r="C90" s="880"/>
      <c r="D90" s="881"/>
      <c r="E90" s="115" t="s">
        <v>1159</v>
      </c>
      <c r="F90" s="85" t="s">
        <v>67</v>
      </c>
      <c r="G90" s="301">
        <v>0</v>
      </c>
      <c r="J90" s="264"/>
      <c r="K90" s="263"/>
      <c r="L90" s="263"/>
      <c r="M90" s="263"/>
      <c r="N90" s="263"/>
      <c r="O90" s="263"/>
      <c r="P90" s="263"/>
    </row>
    <row r="91" spans="1:16" ht="28.5" customHeight="1">
      <c r="A91" s="860" t="s">
        <v>1031</v>
      </c>
      <c r="B91" s="860"/>
      <c r="C91" s="860"/>
      <c r="D91" s="860"/>
      <c r="E91" s="115" t="s">
        <v>1148</v>
      </c>
      <c r="F91" s="85" t="s">
        <v>931</v>
      </c>
      <c r="G91" s="301">
        <f>ROUND(IF(G10=0,0,G3/G10),2)</f>
        <v>134.73</v>
      </c>
      <c r="J91" s="264"/>
      <c r="K91" s="263"/>
      <c r="L91" s="263"/>
      <c r="M91" s="263"/>
      <c r="N91" s="263"/>
      <c r="O91" s="263"/>
      <c r="P91" s="263"/>
    </row>
    <row r="92" spans="1:16" ht="29.25" customHeight="1">
      <c r="A92" s="860" t="s">
        <v>1032</v>
      </c>
      <c r="B92" s="860"/>
      <c r="C92" s="860"/>
      <c r="D92" s="860"/>
      <c r="E92" s="115" t="s">
        <v>1149</v>
      </c>
      <c r="F92" s="85" t="s">
        <v>931</v>
      </c>
      <c r="G92" s="301">
        <v>177.73</v>
      </c>
      <c r="J92" s="264"/>
      <c r="K92" s="263"/>
      <c r="L92" s="263"/>
      <c r="M92" s="263"/>
      <c r="N92" s="263"/>
      <c r="O92" s="263"/>
      <c r="P92" s="263"/>
    </row>
    <row r="93" spans="1:16" ht="26.25" customHeight="1">
      <c r="A93" s="860" t="s">
        <v>1033</v>
      </c>
      <c r="B93" s="860"/>
      <c r="C93" s="860"/>
      <c r="D93" s="860"/>
      <c r="E93" s="115" t="s">
        <v>1150</v>
      </c>
      <c r="F93" s="85" t="s">
        <v>931</v>
      </c>
      <c r="G93" s="301">
        <v>204.88</v>
      </c>
      <c r="J93" s="264"/>
      <c r="K93" s="263"/>
      <c r="L93" s="263"/>
      <c r="M93" s="263"/>
      <c r="N93" s="263"/>
      <c r="O93" s="263"/>
      <c r="P93" s="263"/>
    </row>
    <row r="94" spans="1:16" ht="26.25" customHeight="1">
      <c r="A94" s="860" t="s">
        <v>1034</v>
      </c>
      <c r="B94" s="860"/>
      <c r="C94" s="860"/>
      <c r="D94" s="860"/>
      <c r="E94" s="115" t="s">
        <v>1151</v>
      </c>
      <c r="F94" s="85" t="s">
        <v>931</v>
      </c>
      <c r="G94" s="301">
        <f>ROUND(IF(G97=0,0,G91/G97),2)</f>
        <v>61.24</v>
      </c>
      <c r="J94" s="264"/>
      <c r="K94" s="263"/>
      <c r="L94" s="263"/>
      <c r="M94" s="263"/>
      <c r="N94" s="263"/>
      <c r="O94" s="263"/>
      <c r="P94" s="263"/>
    </row>
    <row r="95" spans="1:7" ht="24.75" customHeight="1">
      <c r="A95" s="882" t="s">
        <v>1035</v>
      </c>
      <c r="B95" s="883"/>
      <c r="C95" s="883"/>
      <c r="D95" s="884"/>
      <c r="E95" s="115" t="s">
        <v>1152</v>
      </c>
      <c r="F95" s="85" t="s">
        <v>931</v>
      </c>
      <c r="G95" s="301">
        <f>ROUND(IF(G98=0,0,G92/G98),2)</f>
        <v>83.05</v>
      </c>
    </row>
    <row r="96" spans="1:7" ht="24" customHeight="1">
      <c r="A96" s="882" t="s">
        <v>1036</v>
      </c>
      <c r="B96" s="883"/>
      <c r="C96" s="883"/>
      <c r="D96" s="884"/>
      <c r="E96" s="115" t="s">
        <v>1153</v>
      </c>
      <c r="F96" s="85" t="s">
        <v>931</v>
      </c>
      <c r="G96" s="301">
        <f>ROUND(IF(G99=0,0,G93/G99),2)</f>
        <v>90.65</v>
      </c>
    </row>
    <row r="97" spans="1:7" ht="27" customHeight="1">
      <c r="A97" s="882" t="s">
        <v>1037</v>
      </c>
      <c r="B97" s="883"/>
      <c r="C97" s="883"/>
      <c r="D97" s="884"/>
      <c r="E97" s="115" t="s">
        <v>1154</v>
      </c>
      <c r="F97" s="85" t="s">
        <v>806</v>
      </c>
      <c r="G97" s="301">
        <v>2.2</v>
      </c>
    </row>
    <row r="98" spans="1:7" ht="23.25" customHeight="1">
      <c r="A98" s="882" t="s">
        <v>1038</v>
      </c>
      <c r="B98" s="883"/>
      <c r="C98" s="883"/>
      <c r="D98" s="884"/>
      <c r="E98" s="115" t="s">
        <v>1155</v>
      </c>
      <c r="F98" s="85" t="s">
        <v>806</v>
      </c>
      <c r="G98" s="301">
        <v>2.14</v>
      </c>
    </row>
    <row r="99" spans="1:7" ht="27" customHeight="1">
      <c r="A99" s="882" t="s">
        <v>1039</v>
      </c>
      <c r="B99" s="883"/>
      <c r="C99" s="883"/>
      <c r="D99" s="884"/>
      <c r="E99" s="115" t="s">
        <v>1156</v>
      </c>
      <c r="F99" s="85" t="s">
        <v>806</v>
      </c>
      <c r="G99" s="301">
        <v>2.26</v>
      </c>
    </row>
  </sheetData>
  <sheetProtection password="CE88" sheet="1" objects="1" scenarios="1"/>
  <mergeCells count="81">
    <mergeCell ref="A99:D99"/>
    <mergeCell ref="A98:D98"/>
    <mergeCell ref="A97:D97"/>
    <mergeCell ref="A96:D96"/>
    <mergeCell ref="B63:B74"/>
    <mergeCell ref="A88:A90"/>
    <mergeCell ref="A95:D95"/>
    <mergeCell ref="A93:D93"/>
    <mergeCell ref="A94:D94"/>
    <mergeCell ref="A91:D91"/>
    <mergeCell ref="A92:D92"/>
    <mergeCell ref="A15:A17"/>
    <mergeCell ref="A18:A26"/>
    <mergeCell ref="B19:C19"/>
    <mergeCell ref="B21:B23"/>
    <mergeCell ref="B24:C24"/>
    <mergeCell ref="B90:D90"/>
    <mergeCell ref="C76:C78"/>
    <mergeCell ref="C80:C82"/>
    <mergeCell ref="C64:C66"/>
    <mergeCell ref="B8:D8"/>
    <mergeCell ref="A9:D9"/>
    <mergeCell ref="A10:D10"/>
    <mergeCell ref="C23:D23"/>
    <mergeCell ref="C22:D22"/>
    <mergeCell ref="C21:D21"/>
    <mergeCell ref="A6:A8"/>
    <mergeCell ref="A11:A14"/>
    <mergeCell ref="B11:B12"/>
    <mergeCell ref="B13:B14"/>
    <mergeCell ref="B6:D6"/>
    <mergeCell ref="C11:D11"/>
    <mergeCell ref="C12:D12"/>
    <mergeCell ref="B7:D7"/>
    <mergeCell ref="C27:D27"/>
    <mergeCell ref="C47:D47"/>
    <mergeCell ref="C36:D36"/>
    <mergeCell ref="C37:D37"/>
    <mergeCell ref="B36:B38"/>
    <mergeCell ref="C34:C35"/>
    <mergeCell ref="A1:G1"/>
    <mergeCell ref="A4:A5"/>
    <mergeCell ref="A3:D3"/>
    <mergeCell ref="B4:D4"/>
    <mergeCell ref="B5:D5"/>
    <mergeCell ref="A2:D2"/>
    <mergeCell ref="C68:C70"/>
    <mergeCell ref="C72:C74"/>
    <mergeCell ref="C43:D43"/>
    <mergeCell ref="C40:C42"/>
    <mergeCell ref="C51:C62"/>
    <mergeCell ref="C79:D79"/>
    <mergeCell ref="C67:D67"/>
    <mergeCell ref="C75:D75"/>
    <mergeCell ref="C71:D71"/>
    <mergeCell ref="B75:B86"/>
    <mergeCell ref="C84:C86"/>
    <mergeCell ref="C83:D83"/>
    <mergeCell ref="C13:D13"/>
    <mergeCell ref="C14:D14"/>
    <mergeCell ref="B17:D17"/>
    <mergeCell ref="B15:D15"/>
    <mergeCell ref="B20:D20"/>
    <mergeCell ref="C38:D38"/>
    <mergeCell ref="C28:C29"/>
    <mergeCell ref="B27:B35"/>
    <mergeCell ref="B26:D26"/>
    <mergeCell ref="B25:D25"/>
    <mergeCell ref="C44:C46"/>
    <mergeCell ref="C63:D63"/>
    <mergeCell ref="C31:C32"/>
    <mergeCell ref="B16:D16"/>
    <mergeCell ref="C30:D30"/>
    <mergeCell ref="C33:D33"/>
    <mergeCell ref="B51:B62"/>
    <mergeCell ref="A87:D87"/>
    <mergeCell ref="C39:D39"/>
    <mergeCell ref="C48:C50"/>
    <mergeCell ref="B39:B50"/>
    <mergeCell ref="A27:A86"/>
    <mergeCell ref="B18:D18"/>
  </mergeCells>
  <printOptions/>
  <pageMargins left="0.75" right="0.75" top="0.8" bottom="1" header="0.5" footer="0.5"/>
  <pageSetup horizontalDpi="1200" verticalDpi="1200" orientation="portrait" paperSize="9" r:id="rId1"/>
  <headerFooter alignWithMargins="0">
    <oddFooter>&amp;R27</oddFooter>
  </headerFooter>
</worksheet>
</file>

<file path=xl/worksheets/sheet22.xml><?xml version="1.0" encoding="utf-8"?>
<worksheet xmlns="http://schemas.openxmlformats.org/spreadsheetml/2006/main" xmlns:r="http://schemas.openxmlformats.org/officeDocument/2006/relationships">
  <dimension ref="A1:L51"/>
  <sheetViews>
    <sheetView zoomScalePageLayoutView="0" workbookViewId="0" topLeftCell="A1">
      <selection activeCell="C44" sqref="C44:E44"/>
    </sheetView>
  </sheetViews>
  <sheetFormatPr defaultColWidth="9.140625" defaultRowHeight="12.75"/>
  <cols>
    <col min="1" max="1" width="11.140625" style="148" customWidth="1"/>
    <col min="2" max="2" width="10.421875" style="148" customWidth="1"/>
    <col min="3" max="3" width="10.00390625" style="148" customWidth="1"/>
    <col min="4" max="4" width="24.7109375" style="148" customWidth="1"/>
    <col min="5" max="5" width="10.140625" style="168" customWidth="1"/>
    <col min="6" max="6" width="12.421875" style="148" customWidth="1"/>
    <col min="7" max="7" width="11.28125" style="148" customWidth="1"/>
    <col min="8" max="9" width="9.140625" style="148" customWidth="1"/>
    <col min="10" max="16384" width="9.140625" style="148" customWidth="1"/>
  </cols>
  <sheetData>
    <row r="1" spans="1:7" ht="13.5" thickBot="1">
      <c r="A1" s="890" t="s">
        <v>1052</v>
      </c>
      <c r="B1" s="891"/>
      <c r="C1" s="891"/>
      <c r="D1" s="891"/>
      <c r="E1" s="891"/>
      <c r="F1" s="891"/>
      <c r="G1" s="891"/>
    </row>
    <row r="2" spans="1:7" ht="16.5" customHeight="1" thickBot="1">
      <c r="A2" s="831" t="s">
        <v>63</v>
      </c>
      <c r="B2" s="832"/>
      <c r="C2" s="832"/>
      <c r="D2" s="833"/>
      <c r="E2" s="170" t="s">
        <v>60</v>
      </c>
      <c r="F2" s="169" t="s">
        <v>61</v>
      </c>
      <c r="G2" s="171" t="s">
        <v>62</v>
      </c>
    </row>
    <row r="3" spans="1:9" ht="12.75">
      <c r="A3" s="803" t="s">
        <v>1051</v>
      </c>
      <c r="B3" s="807" t="s">
        <v>215</v>
      </c>
      <c r="C3" s="807"/>
      <c r="D3" s="807"/>
      <c r="E3" s="269" t="s">
        <v>697</v>
      </c>
      <c r="F3" s="308" t="s">
        <v>931</v>
      </c>
      <c r="G3" s="275">
        <f>G25+G34+G43</f>
        <v>35489.74</v>
      </c>
      <c r="H3" s="154" t="str">
        <f>IF(G3=G4+G5,"OK","Pārbaudiet naudā un natūrā izmaksātos pabalstus")</f>
        <v>OK</v>
      </c>
      <c r="I3" s="155"/>
    </row>
    <row r="4" spans="1:9" ht="12.75">
      <c r="A4" s="892"/>
      <c r="B4" s="573" t="s">
        <v>74</v>
      </c>
      <c r="C4" s="553" t="s">
        <v>216</v>
      </c>
      <c r="D4" s="553"/>
      <c r="E4" s="270" t="s">
        <v>696</v>
      </c>
      <c r="F4" s="309" t="s">
        <v>931</v>
      </c>
      <c r="G4" s="275">
        <f>G26+G35+G44</f>
        <v>21974.84</v>
      </c>
      <c r="I4" s="162"/>
    </row>
    <row r="5" spans="1:11" ht="12.75">
      <c r="A5" s="892"/>
      <c r="B5" s="573"/>
      <c r="C5" s="535" t="s">
        <v>217</v>
      </c>
      <c r="D5" s="535"/>
      <c r="E5" s="270" t="s">
        <v>695</v>
      </c>
      <c r="F5" s="309" t="s">
        <v>931</v>
      </c>
      <c r="G5" s="275">
        <f>G27+G36+G45</f>
        <v>13514.9</v>
      </c>
      <c r="K5" s="148" t="str">
        <f>IF(AND(G3=G4+G5,G3=G44+G45+G26+G27+G35+G36,G3=G43+G25+G34),"OK","Pārbaudi visas naudas summas")</f>
        <v>OK</v>
      </c>
    </row>
    <row r="6" spans="1:11" ht="25.5">
      <c r="A6" s="892"/>
      <c r="B6" s="573" t="s">
        <v>979</v>
      </c>
      <c r="C6" s="535"/>
      <c r="D6" s="535"/>
      <c r="E6" s="224" t="s">
        <v>694</v>
      </c>
      <c r="F6" s="225" t="s">
        <v>953</v>
      </c>
      <c r="G6" s="266">
        <v>369</v>
      </c>
      <c r="H6" s="154" t="str">
        <f>IF(AND(G6&gt;=G46,G6&gt;=G28,G6&gt;=G37),"OK","Pārbaudiet mājsaimniecību sadalījumu pa pabalstu veidiem!")</f>
        <v>OK</v>
      </c>
      <c r="K6" s="148" t="str">
        <f>IF(AND(OR(G3=0,G3&gt;0),OR(G6=0,G6&gt;0),OR(G7=0,G7&gt;0)),IF(SUM(G3:G42)=0,"OK",IF(AND(OR(G8&gt;0,G9&gt;0,G10&gt;0,G11&gt;0),OR(G30&gt;0,G31&gt;0,G32&gt;0,G33&gt;0,G39&gt;0,G40&gt;0,G41&gt;0,G42&gt;0,G48&gt;0,G49&gt;0,G50&gt;0,G51&gt;0)),"OK","pārbaudi personu skaitu tabulā")),"OK")</f>
        <v>OK</v>
      </c>
    </row>
    <row r="7" spans="1:9" ht="12.75">
      <c r="A7" s="892"/>
      <c r="B7" s="553" t="s">
        <v>949</v>
      </c>
      <c r="C7" s="553"/>
      <c r="D7" s="553"/>
      <c r="E7" s="271" t="s">
        <v>693</v>
      </c>
      <c r="F7" s="225" t="s">
        <v>67</v>
      </c>
      <c r="G7" s="226">
        <f>G12+G14+G19+G20</f>
        <v>416</v>
      </c>
      <c r="H7" s="154" t="str">
        <f>IF(G7=G8+G9+G10+G11,"OK","Pārbaudiet saņēmēju sadalījumu pa vecumiem un dzimumiem!")</f>
        <v>OK</v>
      </c>
      <c r="I7" s="155"/>
    </row>
    <row r="8" spans="1:12" ht="12.75">
      <c r="A8" s="892"/>
      <c r="B8" s="571" t="s">
        <v>105</v>
      </c>
      <c r="C8" s="571" t="s">
        <v>140</v>
      </c>
      <c r="D8" s="225" t="s">
        <v>218</v>
      </c>
      <c r="E8" s="272" t="s">
        <v>692</v>
      </c>
      <c r="F8" s="225" t="s">
        <v>67</v>
      </c>
      <c r="G8" s="267">
        <v>56</v>
      </c>
      <c r="H8" s="154" t="str">
        <f>IF(AND(G8&gt;=G48,G8&gt;=G30,G8&gt;=G39),"OK","Pārbaudiet klientu sadalījumu pa dzimumiem!")</f>
        <v>OK</v>
      </c>
      <c r="I8" s="162"/>
      <c r="L8" s="307" t="str">
        <f>IF(G3=G4+G5,IF(G3=G43+G25+G34,IF(G4=G44+G26+G35,IF(G5=G45+G27+G36,IF(G6&lt;=G46+G28+G37,IF(G7=G8+G9+G10+G11,IF(G7&lt;=G47+G29+G38,"OK","Pārbaudi tabulā 3.1.5 G7, G29, G38, G47"),"Pārbaudi tabulā 3.1.5 G7, G8, G9, G10, G11"),"Pārbaudi tabulā 3.1.5.G6, G28, G37, G46"),"Pārbaudi tabulā 3.1.5 G5, G27, G36, G45"),"Pārbaudi tabulā 3.1.5 G4, G26, G35, G44"),"Pārbaudi tabulā 3.1.5 G3, G25, G34, G43"),"Pārbaudi tabulā 3.1.5 G3, G4,G5")</f>
        <v>OK</v>
      </c>
    </row>
    <row r="9" spans="1:12" ht="12.75">
      <c r="A9" s="892"/>
      <c r="B9" s="571"/>
      <c r="C9" s="571"/>
      <c r="D9" s="225" t="s">
        <v>143</v>
      </c>
      <c r="E9" s="272" t="s">
        <v>691</v>
      </c>
      <c r="F9" s="225" t="s">
        <v>67</v>
      </c>
      <c r="G9" s="267">
        <v>66</v>
      </c>
      <c r="H9" s="154" t="str">
        <f>IF(AND(G9&gt;=G49,G9&gt;=G31,G9&gt;=G40),"OK","Pārbaudiet klientu sadalījumu pa dzimumiem!")</f>
        <v>OK</v>
      </c>
      <c r="L9" s="307" t="str">
        <f>IF(AND(G8&lt;=G48+G30+G39,G8&gt;=MAX(G39,G30,G48)),IF(AND(G9&lt;=G49+G31+G40,G9&gt;=MAX(G40,G31,G49)),IF(AND(G10&lt;=G50+G32+G41,G10&gt;=MAX(G41,G32,G50)),IF(AND(G11&lt;=G51+G33+G42,G11&gt;=MAX(G42,G33,G51)),"OK","Pārbaudi tabulā 3.1.5 G11, G33, G42, G51"),"Pārbaudi tabulā 3.1.5 G10, G32, G41, G50"),"Pārbaudi tabulā tabulā 3.1.5 G9; G31, G40, G49"),"Pārbaudi tabulā 3.1.5 G8, G30, G39, G48")</f>
        <v>OK</v>
      </c>
    </row>
    <row r="10" spans="1:8" ht="12.75">
      <c r="A10" s="892"/>
      <c r="B10" s="535"/>
      <c r="C10" s="573" t="s">
        <v>141</v>
      </c>
      <c r="D10" s="225" t="s">
        <v>218</v>
      </c>
      <c r="E10" s="272" t="s">
        <v>690</v>
      </c>
      <c r="F10" s="225" t="s">
        <v>67</v>
      </c>
      <c r="G10" s="267">
        <v>89</v>
      </c>
      <c r="H10" s="154" t="str">
        <f>IF(AND(G10&gt;=G50,G10&gt;=G32,G10&gt;=G41),"OK","Pārbaudiet klientu sadalījumu pa dzimumiem!")</f>
        <v>OK</v>
      </c>
    </row>
    <row r="11" spans="1:8" ht="12.75">
      <c r="A11" s="892"/>
      <c r="B11" s="535"/>
      <c r="C11" s="573"/>
      <c r="D11" s="225" t="s">
        <v>143</v>
      </c>
      <c r="E11" s="272" t="s">
        <v>689</v>
      </c>
      <c r="F11" s="225" t="s">
        <v>67</v>
      </c>
      <c r="G11" s="267">
        <v>205</v>
      </c>
      <c r="H11" s="154" t="str">
        <f>IF(AND(G11&gt;=G51,G11&gt;=G33,G11&gt;=G42),"OK","Pārbaudiet klientu sadalījumu pa dzimumiem!")</f>
        <v>OK</v>
      </c>
    </row>
    <row r="12" spans="1:7" ht="12.75">
      <c r="A12" s="892"/>
      <c r="B12" s="571" t="s">
        <v>105</v>
      </c>
      <c r="C12" s="553" t="s">
        <v>140</v>
      </c>
      <c r="D12" s="535"/>
      <c r="E12" s="271" t="s">
        <v>688</v>
      </c>
      <c r="F12" s="225" t="s">
        <v>67</v>
      </c>
      <c r="G12" s="267">
        <v>122</v>
      </c>
    </row>
    <row r="13" spans="1:8" ht="12.75">
      <c r="A13" s="892"/>
      <c r="B13" s="571"/>
      <c r="C13" s="553" t="s">
        <v>219</v>
      </c>
      <c r="D13" s="535"/>
      <c r="E13" s="273" t="s">
        <v>687</v>
      </c>
      <c r="F13" s="225" t="s">
        <v>67</v>
      </c>
      <c r="G13" s="267">
        <v>5</v>
      </c>
      <c r="H13" s="154" t="str">
        <f>IF(G13&lt;=G12,"OK","Bērnu ar invaliditāti skaits pārsniedz kopējo bērnu skaitu!")</f>
        <v>OK</v>
      </c>
    </row>
    <row r="14" spans="1:7" ht="12.75">
      <c r="A14" s="892"/>
      <c r="B14" s="571"/>
      <c r="C14" s="553" t="s">
        <v>220</v>
      </c>
      <c r="D14" s="535"/>
      <c r="E14" s="271" t="s">
        <v>686</v>
      </c>
      <c r="F14" s="225" t="s">
        <v>67</v>
      </c>
      <c r="G14" s="226">
        <f>G15+G16+G17</f>
        <v>31</v>
      </c>
    </row>
    <row r="15" spans="1:7" ht="12.75">
      <c r="A15" s="892"/>
      <c r="B15" s="571"/>
      <c r="C15" s="571" t="s">
        <v>105</v>
      </c>
      <c r="D15" s="225" t="s">
        <v>221</v>
      </c>
      <c r="E15" s="273" t="s">
        <v>685</v>
      </c>
      <c r="F15" s="225" t="s">
        <v>67</v>
      </c>
      <c r="G15" s="267">
        <v>6</v>
      </c>
    </row>
    <row r="16" spans="1:7" ht="12.75">
      <c r="A16" s="892"/>
      <c r="B16" s="571"/>
      <c r="C16" s="571"/>
      <c r="D16" s="225" t="s">
        <v>222</v>
      </c>
      <c r="E16" s="273" t="s">
        <v>684</v>
      </c>
      <c r="F16" s="225" t="s">
        <v>67</v>
      </c>
      <c r="G16" s="267">
        <v>24</v>
      </c>
    </row>
    <row r="17" spans="1:7" ht="22.5" customHeight="1">
      <c r="A17" s="892"/>
      <c r="B17" s="571"/>
      <c r="C17" s="571"/>
      <c r="D17" s="225" t="s">
        <v>223</v>
      </c>
      <c r="E17" s="273" t="s">
        <v>683</v>
      </c>
      <c r="F17" s="225" t="s">
        <v>67</v>
      </c>
      <c r="G17" s="267">
        <v>1</v>
      </c>
    </row>
    <row r="18" spans="1:8" ht="24" customHeight="1">
      <c r="A18" s="892"/>
      <c r="B18" s="571"/>
      <c r="C18" s="553" t="s">
        <v>848</v>
      </c>
      <c r="D18" s="535"/>
      <c r="E18" s="271" t="s">
        <v>682</v>
      </c>
      <c r="F18" s="225" t="s">
        <v>67</v>
      </c>
      <c r="G18" s="267">
        <v>3</v>
      </c>
      <c r="H18" s="154" t="str">
        <f>IF(G18&lt;=G14,"OK","Personu skaits, kuras veic darba praktizēšanu pašvaldībās ar stipendiju, ir lielāks kā pilngadīgu darbspējīgu personu skaits!")</f>
        <v>OK</v>
      </c>
    </row>
    <row r="19" spans="1:7" ht="12.75">
      <c r="A19" s="892"/>
      <c r="B19" s="571"/>
      <c r="C19" s="553" t="s">
        <v>158</v>
      </c>
      <c r="D19" s="535"/>
      <c r="E19" s="271" t="s">
        <v>681</v>
      </c>
      <c r="F19" s="225" t="s">
        <v>67</v>
      </c>
      <c r="G19" s="267">
        <v>69</v>
      </c>
    </row>
    <row r="20" spans="1:7" ht="12.75">
      <c r="A20" s="892"/>
      <c r="B20" s="571"/>
      <c r="C20" s="553" t="s">
        <v>160</v>
      </c>
      <c r="D20" s="535"/>
      <c r="E20" s="271" t="s">
        <v>680</v>
      </c>
      <c r="F20" s="225" t="s">
        <v>67</v>
      </c>
      <c r="G20" s="267">
        <v>194</v>
      </c>
    </row>
    <row r="21" spans="1:7" ht="12.75">
      <c r="A21" s="893"/>
      <c r="B21" s="287" t="s">
        <v>1011</v>
      </c>
      <c r="C21" s="287"/>
      <c r="D21" s="287"/>
      <c r="E21" s="271" t="s">
        <v>679</v>
      </c>
      <c r="F21" s="225" t="s">
        <v>67</v>
      </c>
      <c r="G21" s="226">
        <f>G23+G24+G22</f>
        <v>0</v>
      </c>
    </row>
    <row r="22" spans="1:7" ht="12.75">
      <c r="A22" s="893"/>
      <c r="B22" s="895" t="s">
        <v>170</v>
      </c>
      <c r="C22" s="287" t="s">
        <v>1008</v>
      </c>
      <c r="D22" s="287"/>
      <c r="E22" s="273" t="s">
        <v>678</v>
      </c>
      <c r="F22" s="225" t="s">
        <v>67</v>
      </c>
      <c r="G22" s="267">
        <v>0</v>
      </c>
    </row>
    <row r="23" spans="1:7" ht="18" customHeight="1">
      <c r="A23" s="893"/>
      <c r="B23" s="896"/>
      <c r="C23" s="287" t="s">
        <v>1009</v>
      </c>
      <c r="D23" s="287"/>
      <c r="E23" s="273" t="s">
        <v>677</v>
      </c>
      <c r="F23" s="225" t="s">
        <v>67</v>
      </c>
      <c r="G23" s="267">
        <v>0</v>
      </c>
    </row>
    <row r="24" spans="1:7" ht="15.75" customHeight="1">
      <c r="A24" s="893"/>
      <c r="B24" s="897"/>
      <c r="C24" s="287" t="s">
        <v>1010</v>
      </c>
      <c r="D24" s="287"/>
      <c r="E24" s="273" t="s">
        <v>1204</v>
      </c>
      <c r="F24" s="225" t="s">
        <v>67</v>
      </c>
      <c r="G24" s="267">
        <v>0</v>
      </c>
    </row>
    <row r="25" spans="1:8" ht="12.75">
      <c r="A25" s="544" t="s">
        <v>1053</v>
      </c>
      <c r="B25" s="553" t="s">
        <v>215</v>
      </c>
      <c r="C25" s="553"/>
      <c r="D25" s="553"/>
      <c r="E25" s="269" t="s">
        <v>673</v>
      </c>
      <c r="F25" s="274" t="s">
        <v>931</v>
      </c>
      <c r="G25" s="275">
        <f>G26+G27</f>
        <v>21870.18</v>
      </c>
      <c r="H25" s="154" t="str">
        <f>IF(G25=G26+G27,"OK","Pārbaudiet naudā un natūrā izmaksātos pabalstus!")</f>
        <v>OK</v>
      </c>
    </row>
    <row r="26" spans="1:7" ht="12.75">
      <c r="A26" s="888"/>
      <c r="B26" s="573" t="s">
        <v>74</v>
      </c>
      <c r="C26" s="553" t="s">
        <v>216</v>
      </c>
      <c r="D26" s="553"/>
      <c r="E26" s="276" t="s">
        <v>698</v>
      </c>
      <c r="F26" s="277" t="s">
        <v>931</v>
      </c>
      <c r="G26" s="267">
        <v>21000.68</v>
      </c>
    </row>
    <row r="27" spans="1:7" ht="12.75">
      <c r="A27" s="888"/>
      <c r="B27" s="573"/>
      <c r="C27" s="535" t="s">
        <v>217</v>
      </c>
      <c r="D27" s="535"/>
      <c r="E27" s="276" t="s">
        <v>699</v>
      </c>
      <c r="F27" s="277" t="s">
        <v>931</v>
      </c>
      <c r="G27" s="267">
        <v>869.5</v>
      </c>
    </row>
    <row r="28" spans="1:7" ht="25.5">
      <c r="A28" s="888"/>
      <c r="B28" s="573" t="s">
        <v>979</v>
      </c>
      <c r="C28" s="535"/>
      <c r="D28" s="535"/>
      <c r="E28" s="269" t="s">
        <v>674</v>
      </c>
      <c r="F28" s="225" t="s">
        <v>953</v>
      </c>
      <c r="G28" s="267">
        <v>249</v>
      </c>
    </row>
    <row r="29" spans="1:7" ht="12.75">
      <c r="A29" s="888"/>
      <c r="B29" s="553" t="s">
        <v>949</v>
      </c>
      <c r="C29" s="553"/>
      <c r="D29" s="553"/>
      <c r="E29" s="269" t="s">
        <v>675</v>
      </c>
      <c r="F29" s="225" t="s">
        <v>67</v>
      </c>
      <c r="G29" s="226">
        <f>G30+G31+G32+G33</f>
        <v>265</v>
      </c>
    </row>
    <row r="30" spans="1:7" ht="12.75">
      <c r="A30" s="888"/>
      <c r="B30" s="571" t="s">
        <v>105</v>
      </c>
      <c r="C30" s="571" t="s">
        <v>140</v>
      </c>
      <c r="D30" s="225" t="s">
        <v>218</v>
      </c>
      <c r="E30" s="278" t="s">
        <v>700</v>
      </c>
      <c r="F30" s="225" t="s">
        <v>67</v>
      </c>
      <c r="G30" s="267">
        <v>6</v>
      </c>
    </row>
    <row r="31" spans="1:7" ht="12.75">
      <c r="A31" s="888"/>
      <c r="B31" s="571"/>
      <c r="C31" s="571"/>
      <c r="D31" s="225" t="s">
        <v>143</v>
      </c>
      <c r="E31" s="278" t="s">
        <v>701</v>
      </c>
      <c r="F31" s="225" t="s">
        <v>67</v>
      </c>
      <c r="G31" s="267">
        <v>3</v>
      </c>
    </row>
    <row r="32" spans="1:7" ht="12.75">
      <c r="A32" s="888"/>
      <c r="B32" s="535"/>
      <c r="C32" s="573" t="s">
        <v>141</v>
      </c>
      <c r="D32" s="225" t="s">
        <v>218</v>
      </c>
      <c r="E32" s="278" t="s">
        <v>702</v>
      </c>
      <c r="F32" s="225" t="s">
        <v>67</v>
      </c>
      <c r="G32" s="267">
        <v>66</v>
      </c>
    </row>
    <row r="33" spans="1:7" ht="12.75">
      <c r="A33" s="889"/>
      <c r="B33" s="535"/>
      <c r="C33" s="573"/>
      <c r="D33" s="225" t="s">
        <v>143</v>
      </c>
      <c r="E33" s="278" t="s">
        <v>703</v>
      </c>
      <c r="F33" s="225" t="s">
        <v>67</v>
      </c>
      <c r="G33" s="267">
        <v>190</v>
      </c>
    </row>
    <row r="34" spans="1:8" ht="12.75">
      <c r="A34" s="544" t="s">
        <v>1303</v>
      </c>
      <c r="B34" s="553" t="s">
        <v>215</v>
      </c>
      <c r="C34" s="553"/>
      <c r="D34" s="553"/>
      <c r="E34" s="269" t="s">
        <v>676</v>
      </c>
      <c r="F34" s="274" t="s">
        <v>931</v>
      </c>
      <c r="G34" s="275">
        <f>G35+G36</f>
        <v>39.16</v>
      </c>
      <c r="H34" s="154" t="str">
        <f>IF(G34=G35+G36,"OK","Pārbaudiet naudā un natūrā izmaksātos pabalstus!")</f>
        <v>OK</v>
      </c>
    </row>
    <row r="35" spans="1:7" ht="12.75">
      <c r="A35" s="888"/>
      <c r="B35" s="573" t="s">
        <v>74</v>
      </c>
      <c r="C35" s="553" t="s">
        <v>216</v>
      </c>
      <c r="D35" s="553"/>
      <c r="E35" s="276" t="s">
        <v>704</v>
      </c>
      <c r="F35" s="277" t="s">
        <v>931</v>
      </c>
      <c r="G35" s="267">
        <v>39.16</v>
      </c>
    </row>
    <row r="36" spans="1:7" ht="12.75">
      <c r="A36" s="888"/>
      <c r="B36" s="573"/>
      <c r="C36" s="535" t="s">
        <v>217</v>
      </c>
      <c r="D36" s="535"/>
      <c r="E36" s="276" t="s">
        <v>705</v>
      </c>
      <c r="F36" s="277" t="s">
        <v>931</v>
      </c>
      <c r="G36" s="267">
        <v>0</v>
      </c>
    </row>
    <row r="37" spans="1:7" ht="23.25" customHeight="1">
      <c r="A37" s="888"/>
      <c r="B37" s="573" t="s">
        <v>979</v>
      </c>
      <c r="C37" s="535"/>
      <c r="D37" s="535"/>
      <c r="E37" s="269" t="s">
        <v>706</v>
      </c>
      <c r="F37" s="225" t="s">
        <v>953</v>
      </c>
      <c r="G37" s="267">
        <v>1</v>
      </c>
    </row>
    <row r="38" spans="1:7" ht="12.75">
      <c r="A38" s="888"/>
      <c r="B38" s="553" t="s">
        <v>949</v>
      </c>
      <c r="C38" s="553"/>
      <c r="D38" s="553"/>
      <c r="E38" s="269" t="s">
        <v>707</v>
      </c>
      <c r="F38" s="225" t="s">
        <v>67</v>
      </c>
      <c r="G38" s="226">
        <f>G39+G40+G41+G42</f>
        <v>1</v>
      </c>
    </row>
    <row r="39" spans="1:7" ht="12.75">
      <c r="A39" s="888"/>
      <c r="B39" s="571" t="s">
        <v>105</v>
      </c>
      <c r="C39" s="571" t="s">
        <v>140</v>
      </c>
      <c r="D39" s="225" t="s">
        <v>218</v>
      </c>
      <c r="E39" s="278" t="s">
        <v>708</v>
      </c>
      <c r="F39" s="225" t="s">
        <v>67</v>
      </c>
      <c r="G39" s="267">
        <v>0</v>
      </c>
    </row>
    <row r="40" spans="1:7" ht="12.75">
      <c r="A40" s="888"/>
      <c r="B40" s="571"/>
      <c r="C40" s="571"/>
      <c r="D40" s="225" t="s">
        <v>143</v>
      </c>
      <c r="E40" s="278" t="s">
        <v>709</v>
      </c>
      <c r="F40" s="225" t="s">
        <v>67</v>
      </c>
      <c r="G40" s="267">
        <v>0</v>
      </c>
    </row>
    <row r="41" spans="1:7" ht="12.75">
      <c r="A41" s="888"/>
      <c r="B41" s="535"/>
      <c r="C41" s="573" t="s">
        <v>141</v>
      </c>
      <c r="D41" s="225" t="s">
        <v>218</v>
      </c>
      <c r="E41" s="278" t="s">
        <v>710</v>
      </c>
      <c r="F41" s="225" t="s">
        <v>67</v>
      </c>
      <c r="G41" s="267">
        <v>0</v>
      </c>
    </row>
    <row r="42" spans="1:7" ht="13.5" thickBot="1">
      <c r="A42" s="894"/>
      <c r="B42" s="543"/>
      <c r="C42" s="574"/>
      <c r="D42" s="279" t="s">
        <v>143</v>
      </c>
      <c r="E42" s="280" t="s">
        <v>711</v>
      </c>
      <c r="F42" s="279" t="s">
        <v>67</v>
      </c>
      <c r="G42" s="281">
        <v>1</v>
      </c>
    </row>
    <row r="43" spans="1:7" ht="12.75">
      <c r="A43" s="544" t="s">
        <v>1054</v>
      </c>
      <c r="B43" s="553" t="s">
        <v>215</v>
      </c>
      <c r="C43" s="553"/>
      <c r="D43" s="553"/>
      <c r="E43" s="269" t="s">
        <v>1305</v>
      </c>
      <c r="F43" s="274" t="s">
        <v>931</v>
      </c>
      <c r="G43" s="275">
        <f>G44+G45</f>
        <v>13580.4</v>
      </c>
    </row>
    <row r="44" spans="1:7" ht="12.75">
      <c r="A44" s="888"/>
      <c r="B44" s="573" t="s">
        <v>74</v>
      </c>
      <c r="C44" s="553" t="s">
        <v>216</v>
      </c>
      <c r="D44" s="553"/>
      <c r="E44" s="276" t="s">
        <v>1306</v>
      </c>
      <c r="F44" s="277" t="s">
        <v>931</v>
      </c>
      <c r="G44" s="267">
        <v>935</v>
      </c>
    </row>
    <row r="45" spans="1:7" ht="12.75">
      <c r="A45" s="888"/>
      <c r="B45" s="573"/>
      <c r="C45" s="535" t="s">
        <v>217</v>
      </c>
      <c r="D45" s="535"/>
      <c r="E45" s="276" t="s">
        <v>1307</v>
      </c>
      <c r="F45" s="277" t="s">
        <v>931</v>
      </c>
      <c r="G45" s="267">
        <v>12645.4</v>
      </c>
    </row>
    <row r="46" spans="1:7" ht="25.5">
      <c r="A46" s="888"/>
      <c r="B46" s="573" t="s">
        <v>979</v>
      </c>
      <c r="C46" s="535"/>
      <c r="D46" s="535"/>
      <c r="E46" s="269" t="s">
        <v>1308</v>
      </c>
      <c r="F46" s="225" t="s">
        <v>953</v>
      </c>
      <c r="G46" s="267">
        <v>124</v>
      </c>
    </row>
    <row r="47" spans="1:7" ht="12.75">
      <c r="A47" s="888"/>
      <c r="B47" s="553" t="s">
        <v>949</v>
      </c>
      <c r="C47" s="553"/>
      <c r="D47" s="553"/>
      <c r="E47" s="269" t="s">
        <v>1309</v>
      </c>
      <c r="F47" s="225" t="s">
        <v>67</v>
      </c>
      <c r="G47" s="226">
        <f>G48+G49+G50+G51</f>
        <v>154</v>
      </c>
    </row>
    <row r="48" spans="1:7" ht="12.75">
      <c r="A48" s="888"/>
      <c r="B48" s="571" t="s">
        <v>105</v>
      </c>
      <c r="C48" s="571" t="s">
        <v>140</v>
      </c>
      <c r="D48" s="225" t="s">
        <v>218</v>
      </c>
      <c r="E48" s="278" t="s">
        <v>1310</v>
      </c>
      <c r="F48" s="225" t="s">
        <v>67</v>
      </c>
      <c r="G48" s="267">
        <v>50</v>
      </c>
    </row>
    <row r="49" spans="1:7" ht="12.75">
      <c r="A49" s="888"/>
      <c r="B49" s="571"/>
      <c r="C49" s="571"/>
      <c r="D49" s="225" t="s">
        <v>143</v>
      </c>
      <c r="E49" s="278" t="s">
        <v>1311</v>
      </c>
      <c r="F49" s="225" t="s">
        <v>67</v>
      </c>
      <c r="G49" s="267">
        <v>63</v>
      </c>
    </row>
    <row r="50" spans="1:7" ht="12.75">
      <c r="A50" s="888"/>
      <c r="B50" s="535"/>
      <c r="C50" s="573" t="s">
        <v>141</v>
      </c>
      <c r="D50" s="225" t="s">
        <v>218</v>
      </c>
      <c r="E50" s="278" t="s">
        <v>1312</v>
      </c>
      <c r="F50" s="225" t="s">
        <v>67</v>
      </c>
      <c r="G50" s="267">
        <v>24</v>
      </c>
    </row>
    <row r="51" spans="1:7" ht="13.5" thickBot="1">
      <c r="A51" s="894"/>
      <c r="B51" s="543"/>
      <c r="C51" s="574"/>
      <c r="D51" s="279" t="s">
        <v>143</v>
      </c>
      <c r="E51" s="280" t="s">
        <v>1313</v>
      </c>
      <c r="F51" s="279" t="s">
        <v>67</v>
      </c>
      <c r="G51" s="281">
        <v>17</v>
      </c>
    </row>
  </sheetData>
  <sheetProtection password="CE88" sheet="1" objects="1" scenarios="1"/>
  <mergeCells count="51">
    <mergeCell ref="C41:C42"/>
    <mergeCell ref="B47:D47"/>
    <mergeCell ref="C48:C49"/>
    <mergeCell ref="B48:B51"/>
    <mergeCell ref="C50:C51"/>
    <mergeCell ref="B38:D38"/>
    <mergeCell ref="B39:B42"/>
    <mergeCell ref="C39:C40"/>
    <mergeCell ref="A43:A51"/>
    <mergeCell ref="B43:D43"/>
    <mergeCell ref="B44:B45"/>
    <mergeCell ref="C44:D44"/>
    <mergeCell ref="C45:D45"/>
    <mergeCell ref="B46:D46"/>
    <mergeCell ref="B37:D37"/>
    <mergeCell ref="B22:B24"/>
    <mergeCell ref="C14:D14"/>
    <mergeCell ref="C18:D18"/>
    <mergeCell ref="C19:D19"/>
    <mergeCell ref="C20:D20"/>
    <mergeCell ref="B28:D28"/>
    <mergeCell ref="B12:B20"/>
    <mergeCell ref="B6:D6"/>
    <mergeCell ref="B29:D29"/>
    <mergeCell ref="B30:B33"/>
    <mergeCell ref="C30:C31"/>
    <mergeCell ref="C32:C33"/>
    <mergeCell ref="C13:D13"/>
    <mergeCell ref="C12:D12"/>
    <mergeCell ref="B7:D7"/>
    <mergeCell ref="C15:C17"/>
    <mergeCell ref="A1:G1"/>
    <mergeCell ref="A3:A24"/>
    <mergeCell ref="A2:D2"/>
    <mergeCell ref="B3:D3"/>
    <mergeCell ref="B4:B5"/>
    <mergeCell ref="A34:A42"/>
    <mergeCell ref="B34:D34"/>
    <mergeCell ref="B35:B36"/>
    <mergeCell ref="C35:D35"/>
    <mergeCell ref="C36:D36"/>
    <mergeCell ref="C4:D4"/>
    <mergeCell ref="C5:D5"/>
    <mergeCell ref="B8:B11"/>
    <mergeCell ref="C8:C9"/>
    <mergeCell ref="C10:C11"/>
    <mergeCell ref="A25:A33"/>
    <mergeCell ref="B25:D25"/>
    <mergeCell ref="B26:B27"/>
    <mergeCell ref="C26:D26"/>
    <mergeCell ref="C27:D27"/>
  </mergeCells>
  <printOptions/>
  <pageMargins left="0.75" right="0.49" top="0.31" bottom="0.41" header="0.19" footer="0.23"/>
  <pageSetup horizontalDpi="1200" verticalDpi="1200" orientation="portrait" paperSize="9" scale="87" r:id="rId1"/>
  <headerFooter alignWithMargins="0">
    <oddFooter>&amp;R28</oddFooter>
  </headerFooter>
</worksheet>
</file>

<file path=xl/worksheets/sheet23.xml><?xml version="1.0" encoding="utf-8"?>
<worksheet xmlns="http://schemas.openxmlformats.org/spreadsheetml/2006/main" xmlns:r="http://schemas.openxmlformats.org/officeDocument/2006/relationships">
  <dimension ref="A1:I12"/>
  <sheetViews>
    <sheetView zoomScalePageLayoutView="0" workbookViewId="0" topLeftCell="A1">
      <selection activeCell="C44" sqref="C44:E44"/>
    </sheetView>
  </sheetViews>
  <sheetFormatPr defaultColWidth="9.140625" defaultRowHeight="12.75"/>
  <cols>
    <col min="1" max="2" width="9.140625" style="148" customWidth="1"/>
    <col min="3" max="3" width="10.28125" style="148" customWidth="1"/>
    <col min="4" max="6" width="9.140625" style="148" customWidth="1"/>
    <col min="7" max="7" width="12.57421875" style="148" customWidth="1"/>
    <col min="8" max="16384" width="9.140625" style="148" customWidth="1"/>
  </cols>
  <sheetData>
    <row r="1" spans="1:8" ht="13.5" thickBot="1">
      <c r="A1" s="898" t="s">
        <v>1007</v>
      </c>
      <c r="B1" s="899"/>
      <c r="C1" s="899"/>
      <c r="D1" s="899"/>
      <c r="E1" s="899"/>
      <c r="F1" s="899"/>
      <c r="G1" s="899"/>
      <c r="H1" s="899"/>
    </row>
    <row r="2" spans="1:8" ht="15" thickBot="1">
      <c r="A2" s="900" t="s">
        <v>63</v>
      </c>
      <c r="B2" s="901"/>
      <c r="C2" s="901"/>
      <c r="D2" s="902"/>
      <c r="E2" s="903"/>
      <c r="F2" s="310" t="s">
        <v>60</v>
      </c>
      <c r="G2" s="311" t="s">
        <v>61</v>
      </c>
      <c r="H2" s="312" t="s">
        <v>62</v>
      </c>
    </row>
    <row r="3" spans="1:9" ht="12.75">
      <c r="A3" s="904" t="s">
        <v>936</v>
      </c>
      <c r="B3" s="905" t="s">
        <v>215</v>
      </c>
      <c r="C3" s="906"/>
      <c r="D3" s="906"/>
      <c r="E3" s="907"/>
      <c r="F3" s="313" t="s">
        <v>712</v>
      </c>
      <c r="G3" s="314" t="s">
        <v>931</v>
      </c>
      <c r="H3" s="315">
        <f>H4+H5</f>
        <v>17595.88</v>
      </c>
      <c r="I3" s="154" t="str">
        <f>IF(H3=H4+H5,"OK","Pārbaudiet naudā un natūrā izmaksātos pabalstus")</f>
        <v>OK</v>
      </c>
    </row>
    <row r="4" spans="1:8" ht="12.75">
      <c r="A4" s="892"/>
      <c r="B4" s="573" t="s">
        <v>74</v>
      </c>
      <c r="C4" s="432" t="s">
        <v>216</v>
      </c>
      <c r="D4" s="575"/>
      <c r="E4" s="908"/>
      <c r="F4" s="270" t="s">
        <v>713</v>
      </c>
      <c r="G4" s="277" t="s">
        <v>931</v>
      </c>
      <c r="H4" s="267">
        <v>13670</v>
      </c>
    </row>
    <row r="5" spans="1:8" ht="12.75">
      <c r="A5" s="892"/>
      <c r="B5" s="573"/>
      <c r="C5" s="841" t="s">
        <v>217</v>
      </c>
      <c r="D5" s="909"/>
      <c r="E5" s="908"/>
      <c r="F5" s="270" t="s">
        <v>714</v>
      </c>
      <c r="G5" s="277" t="s">
        <v>931</v>
      </c>
      <c r="H5" s="267">
        <v>3925.88</v>
      </c>
    </row>
    <row r="6" spans="1:8" ht="25.5">
      <c r="A6" s="892"/>
      <c r="B6" s="453" t="s">
        <v>979</v>
      </c>
      <c r="C6" s="910"/>
      <c r="D6" s="910"/>
      <c r="E6" s="908"/>
      <c r="F6" s="224" t="s">
        <v>715</v>
      </c>
      <c r="G6" s="225" t="s">
        <v>953</v>
      </c>
      <c r="H6" s="267">
        <v>34</v>
      </c>
    </row>
    <row r="7" spans="1:9" ht="12.75">
      <c r="A7" s="892"/>
      <c r="B7" s="432" t="s">
        <v>949</v>
      </c>
      <c r="C7" s="575"/>
      <c r="D7" s="575"/>
      <c r="E7" s="908"/>
      <c r="F7" s="271" t="s">
        <v>716</v>
      </c>
      <c r="G7" s="225" t="s">
        <v>67</v>
      </c>
      <c r="H7" s="226">
        <f>H8+H9+H10+H11</f>
        <v>51</v>
      </c>
      <c r="I7" s="154" t="str">
        <f>IF(H7=H8+H9+H10+H11,"OK","Pārbaudiet saņēmēju sadalījumu pa vecumiem un dzimumiem!")</f>
        <v>OK</v>
      </c>
    </row>
    <row r="8" spans="1:8" ht="12.75">
      <c r="A8" s="892"/>
      <c r="B8" s="571" t="s">
        <v>105</v>
      </c>
      <c r="C8" s="571" t="s">
        <v>140</v>
      </c>
      <c r="D8" s="432" t="s">
        <v>218</v>
      </c>
      <c r="E8" s="576"/>
      <c r="F8" s="272" t="s">
        <v>717</v>
      </c>
      <c r="G8" s="225" t="s">
        <v>67</v>
      </c>
      <c r="H8" s="267">
        <v>5</v>
      </c>
    </row>
    <row r="9" spans="1:8" ht="12.75">
      <c r="A9" s="892"/>
      <c r="B9" s="571"/>
      <c r="C9" s="571"/>
      <c r="D9" s="432" t="s">
        <v>143</v>
      </c>
      <c r="E9" s="576"/>
      <c r="F9" s="272" t="s">
        <v>718</v>
      </c>
      <c r="G9" s="225" t="s">
        <v>67</v>
      </c>
      <c r="H9" s="267">
        <v>6</v>
      </c>
    </row>
    <row r="10" spans="1:8" ht="12.75">
      <c r="A10" s="843"/>
      <c r="B10" s="535"/>
      <c r="C10" s="573" t="s">
        <v>141</v>
      </c>
      <c r="D10" s="432" t="s">
        <v>218</v>
      </c>
      <c r="E10" s="576"/>
      <c r="F10" s="272" t="s">
        <v>719</v>
      </c>
      <c r="G10" s="225" t="s">
        <v>67</v>
      </c>
      <c r="H10" s="267">
        <v>11</v>
      </c>
    </row>
    <row r="11" spans="1:8" ht="12.75">
      <c r="A11" s="843"/>
      <c r="B11" s="535"/>
      <c r="C11" s="573"/>
      <c r="D11" s="432" t="s">
        <v>143</v>
      </c>
      <c r="E11" s="576"/>
      <c r="F11" s="272" t="s">
        <v>720</v>
      </c>
      <c r="G11" s="225" t="s">
        <v>67</v>
      </c>
      <c r="H11" s="267">
        <v>29</v>
      </c>
    </row>
    <row r="12" spans="1:8" ht="12.75">
      <c r="A12" s="843"/>
      <c r="B12" s="432" t="s">
        <v>236</v>
      </c>
      <c r="C12" s="575"/>
      <c r="D12" s="575"/>
      <c r="E12" s="908"/>
      <c r="F12" s="271" t="s">
        <v>721</v>
      </c>
      <c r="G12" s="225" t="s">
        <v>67</v>
      </c>
      <c r="H12" s="267">
        <v>0</v>
      </c>
    </row>
    <row r="14" ht="18" customHeight="1"/>
    <row r="17" ht="20.25" customHeight="1"/>
    <row r="22" ht="96.75" customHeight="1"/>
  </sheetData>
  <sheetProtection password="CE88" sheet="1" objects="1" scenarios="1"/>
  <mergeCells count="17">
    <mergeCell ref="B12:E12"/>
    <mergeCell ref="C8:C9"/>
    <mergeCell ref="D8:E8"/>
    <mergeCell ref="D9:E9"/>
    <mergeCell ref="C10:C11"/>
    <mergeCell ref="D10:E10"/>
    <mergeCell ref="D11:E11"/>
    <mergeCell ref="A1:H1"/>
    <mergeCell ref="A2:E2"/>
    <mergeCell ref="A3:A12"/>
    <mergeCell ref="B3:E3"/>
    <mergeCell ref="B4:B5"/>
    <mergeCell ref="C4:E4"/>
    <mergeCell ref="C5:E5"/>
    <mergeCell ref="B6:E6"/>
    <mergeCell ref="B7:E7"/>
    <mergeCell ref="B8:B11"/>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K113"/>
  <sheetViews>
    <sheetView zoomScalePageLayoutView="0" workbookViewId="0" topLeftCell="A1">
      <selection activeCell="C41" sqref="C41:C44"/>
    </sheetView>
  </sheetViews>
  <sheetFormatPr defaultColWidth="9.140625" defaultRowHeight="12.75"/>
  <cols>
    <col min="1" max="1" width="14.00390625" style="307" customWidth="1"/>
    <col min="2" max="2" width="9.140625" style="307" customWidth="1"/>
    <col min="3" max="3" width="10.7109375" style="307" customWidth="1"/>
    <col min="4" max="4" width="10.421875" style="307" customWidth="1"/>
    <col min="5" max="5" width="8.57421875" style="307" customWidth="1"/>
    <col min="6" max="6" width="10.8515625" style="316" customWidth="1"/>
    <col min="7" max="7" width="13.7109375" style="307" customWidth="1"/>
    <col min="8" max="9" width="9.140625" style="307" customWidth="1"/>
    <col min="10" max="10" width="32.7109375" style="307" customWidth="1"/>
    <col min="11" max="16384" width="9.140625" style="307" customWidth="1"/>
  </cols>
  <sheetData>
    <row r="1" ht="15" customHeight="1">
      <c r="I1" s="317"/>
    </row>
    <row r="2" spans="1:9" ht="30" customHeight="1" thickBot="1">
      <c r="A2" s="898" t="s">
        <v>1076</v>
      </c>
      <c r="B2" s="914"/>
      <c r="C2" s="914"/>
      <c r="D2" s="914"/>
      <c r="E2" s="914"/>
      <c r="F2" s="914"/>
      <c r="G2" s="914"/>
      <c r="H2" s="914"/>
      <c r="I2" s="317"/>
    </row>
    <row r="3" spans="1:9" ht="15" thickBot="1">
      <c r="A3" s="900" t="s">
        <v>63</v>
      </c>
      <c r="B3" s="901"/>
      <c r="C3" s="901"/>
      <c r="D3" s="902"/>
      <c r="E3" s="903"/>
      <c r="F3" s="310" t="s">
        <v>60</v>
      </c>
      <c r="G3" s="311" t="s">
        <v>61</v>
      </c>
      <c r="H3" s="312" t="s">
        <v>62</v>
      </c>
      <c r="I3" s="317"/>
    </row>
    <row r="4" spans="1:10" ht="12.75">
      <c r="A4" s="904" t="s">
        <v>1055</v>
      </c>
      <c r="B4" s="788" t="s">
        <v>215</v>
      </c>
      <c r="C4" s="788"/>
      <c r="D4" s="788"/>
      <c r="E4" s="825"/>
      <c r="F4" s="313" t="s">
        <v>1209</v>
      </c>
      <c r="G4" s="314" t="s">
        <v>931</v>
      </c>
      <c r="H4" s="315">
        <f>H15+H45</f>
        <v>211654.68</v>
      </c>
      <c r="I4" s="317" t="str">
        <f>IF(H4=H5+H6,"OK","Pārbaudi naudā un natūrā izmaksātos pabalstus")</f>
        <v>OK</v>
      </c>
      <c r="J4" s="318"/>
    </row>
    <row r="5" spans="1:10" ht="12.75">
      <c r="A5" s="892"/>
      <c r="B5" s="573" t="s">
        <v>74</v>
      </c>
      <c r="C5" s="553" t="s">
        <v>216</v>
      </c>
      <c r="D5" s="553"/>
      <c r="E5" s="827"/>
      <c r="F5" s="270" t="s">
        <v>1210</v>
      </c>
      <c r="G5" s="277" t="s">
        <v>931</v>
      </c>
      <c r="H5" s="226">
        <f>H16+H46</f>
        <v>211654.68</v>
      </c>
      <c r="I5" s="317"/>
      <c r="J5" s="319"/>
    </row>
    <row r="6" spans="1:9" ht="12.75">
      <c r="A6" s="892"/>
      <c r="B6" s="573"/>
      <c r="C6" s="535" t="s">
        <v>217</v>
      </c>
      <c r="D6" s="535"/>
      <c r="E6" s="827"/>
      <c r="F6" s="270" t="s">
        <v>1211</v>
      </c>
      <c r="G6" s="277" t="s">
        <v>931</v>
      </c>
      <c r="H6" s="275">
        <f>H17+H47</f>
        <v>0</v>
      </c>
      <c r="I6" s="317"/>
    </row>
    <row r="7" spans="1:9" ht="35.25" customHeight="1">
      <c r="A7" s="892"/>
      <c r="B7" s="573" t="s">
        <v>237</v>
      </c>
      <c r="C7" s="915"/>
      <c r="D7" s="915"/>
      <c r="E7" s="827"/>
      <c r="F7" s="224" t="s">
        <v>1212</v>
      </c>
      <c r="G7" s="277" t="s">
        <v>931</v>
      </c>
      <c r="H7" s="267">
        <v>652</v>
      </c>
      <c r="I7" s="317" t="str">
        <f>IF(H7&lt;=H4,"OK","Uz personām ar invaliditāti izlietotais līdzekļu apjoms ir lielāks kā kopējais izlietoto līdzekļu apjoms!")</f>
        <v>OK</v>
      </c>
    </row>
    <row r="8" spans="1:9" ht="31.5" customHeight="1">
      <c r="A8" s="892"/>
      <c r="B8" s="573" t="s">
        <v>979</v>
      </c>
      <c r="C8" s="775"/>
      <c r="D8" s="775"/>
      <c r="E8" s="827"/>
      <c r="F8" s="224" t="s">
        <v>1213</v>
      </c>
      <c r="G8" s="225" t="s">
        <v>953</v>
      </c>
      <c r="H8" s="267">
        <v>78</v>
      </c>
      <c r="I8" s="317"/>
    </row>
    <row r="9" spans="1:9" ht="37.5" customHeight="1">
      <c r="A9" s="892"/>
      <c r="B9" s="553" t="s">
        <v>949</v>
      </c>
      <c r="C9" s="553"/>
      <c r="D9" s="553"/>
      <c r="E9" s="827"/>
      <c r="F9" s="271" t="s">
        <v>1214</v>
      </c>
      <c r="G9" s="225" t="s">
        <v>67</v>
      </c>
      <c r="H9" s="226">
        <f>H10+H11+H12+H13</f>
        <v>92</v>
      </c>
      <c r="I9" s="317"/>
    </row>
    <row r="10" spans="1:9" ht="12.75">
      <c r="A10" s="892"/>
      <c r="B10" s="571" t="s">
        <v>105</v>
      </c>
      <c r="C10" s="571" t="s">
        <v>140</v>
      </c>
      <c r="D10" s="553" t="s">
        <v>218</v>
      </c>
      <c r="E10" s="553"/>
      <c r="F10" s="272" t="s">
        <v>1215</v>
      </c>
      <c r="G10" s="225" t="s">
        <v>67</v>
      </c>
      <c r="H10" s="267">
        <v>23</v>
      </c>
      <c r="I10" s="317"/>
    </row>
    <row r="11" spans="1:9" ht="12.75">
      <c r="A11" s="892"/>
      <c r="B11" s="571"/>
      <c r="C11" s="571"/>
      <c r="D11" s="553" t="s">
        <v>143</v>
      </c>
      <c r="E11" s="553"/>
      <c r="F11" s="272" t="s">
        <v>1216</v>
      </c>
      <c r="G11" s="225" t="s">
        <v>67</v>
      </c>
      <c r="H11" s="267">
        <v>10</v>
      </c>
      <c r="I11" s="317"/>
    </row>
    <row r="12" spans="1:9" ht="12.75">
      <c r="A12" s="843"/>
      <c r="B12" s="535"/>
      <c r="C12" s="573" t="s">
        <v>141</v>
      </c>
      <c r="D12" s="553" t="s">
        <v>218</v>
      </c>
      <c r="E12" s="553"/>
      <c r="F12" s="272" t="s">
        <v>1217</v>
      </c>
      <c r="G12" s="225" t="s">
        <v>67</v>
      </c>
      <c r="H12" s="267">
        <v>19</v>
      </c>
      <c r="I12" s="317"/>
    </row>
    <row r="13" spans="1:9" ht="54" customHeight="1">
      <c r="A13" s="843"/>
      <c r="B13" s="535"/>
      <c r="C13" s="573"/>
      <c r="D13" s="553" t="s">
        <v>143</v>
      </c>
      <c r="E13" s="553"/>
      <c r="F13" s="272" t="s">
        <v>1218</v>
      </c>
      <c r="G13" s="225" t="s">
        <v>67</v>
      </c>
      <c r="H13" s="267">
        <v>40</v>
      </c>
      <c r="I13" s="317"/>
    </row>
    <row r="14" spans="1:9" ht="12.75">
      <c r="A14" s="826"/>
      <c r="B14" s="553" t="s">
        <v>236</v>
      </c>
      <c r="C14" s="553"/>
      <c r="D14" s="553"/>
      <c r="E14" s="827"/>
      <c r="F14" s="271" t="s">
        <v>1219</v>
      </c>
      <c r="G14" s="225" t="s">
        <v>67</v>
      </c>
      <c r="H14" s="267">
        <v>0</v>
      </c>
      <c r="I14" s="317"/>
    </row>
    <row r="15" spans="1:10" ht="26.25" customHeight="1">
      <c r="A15" s="911" t="s">
        <v>74</v>
      </c>
      <c r="B15" s="573" t="s">
        <v>1012</v>
      </c>
      <c r="C15" s="535" t="s">
        <v>215</v>
      </c>
      <c r="D15" s="827"/>
      <c r="E15" s="827"/>
      <c r="F15" s="224" t="s">
        <v>1220</v>
      </c>
      <c r="G15" s="277" t="s">
        <v>931</v>
      </c>
      <c r="H15" s="226">
        <f>H21+H27+H31+H35+H41</f>
        <v>79789.20000000001</v>
      </c>
      <c r="I15" s="317" t="str">
        <f>IF(H15=H16+H17,"OK","Pārbaudiet naudā un natūrā izmaksātos pabalstus")</f>
        <v>OK</v>
      </c>
      <c r="J15" s="318"/>
    </row>
    <row r="16" spans="1:10" ht="27" customHeight="1">
      <c r="A16" s="911"/>
      <c r="B16" s="573"/>
      <c r="C16" s="573" t="s">
        <v>74</v>
      </c>
      <c r="D16" s="553" t="s">
        <v>216</v>
      </c>
      <c r="E16" s="553"/>
      <c r="F16" s="270" t="s">
        <v>1221</v>
      </c>
      <c r="G16" s="277" t="s">
        <v>931</v>
      </c>
      <c r="H16" s="226">
        <f>H22+H28+H32+H36+H42</f>
        <v>79789.20000000001</v>
      </c>
      <c r="J16" s="319"/>
    </row>
    <row r="17" spans="1:8" ht="21" customHeight="1">
      <c r="A17" s="911"/>
      <c r="B17" s="573"/>
      <c r="C17" s="573"/>
      <c r="D17" s="553" t="s">
        <v>217</v>
      </c>
      <c r="E17" s="553"/>
      <c r="F17" s="270" t="s">
        <v>1222</v>
      </c>
      <c r="G17" s="277" t="s">
        <v>931</v>
      </c>
      <c r="H17" s="226">
        <f>H23+H29+H33+H37+H43</f>
        <v>0</v>
      </c>
    </row>
    <row r="18" spans="1:9" ht="17.25" customHeight="1">
      <c r="A18" s="911"/>
      <c r="B18" s="573"/>
      <c r="C18" s="573" t="s">
        <v>238</v>
      </c>
      <c r="D18" s="553" t="s">
        <v>65</v>
      </c>
      <c r="E18" s="553"/>
      <c r="F18" s="271" t="s">
        <v>1223</v>
      </c>
      <c r="G18" s="225" t="s">
        <v>67</v>
      </c>
      <c r="H18" s="226">
        <f>H19+H20</f>
        <v>57</v>
      </c>
      <c r="I18" s="317" t="str">
        <f>IF(AND(H18&gt;=H25,H18&gt;=H30,H18&gt;=H34,H18&gt;=H39,H18&gt;=H44),"OK","Pārbaudiet klientu skaita sadalījumu pa pabalsta veidiem pēc ārpusMājsaimniecība aprūpes beigšanās")</f>
        <v>OK</v>
      </c>
    </row>
    <row r="19" spans="1:8" ht="27.75" customHeight="1">
      <c r="A19" s="911"/>
      <c r="B19" s="573"/>
      <c r="C19" s="573"/>
      <c r="D19" s="553" t="s">
        <v>218</v>
      </c>
      <c r="E19" s="553"/>
      <c r="F19" s="273" t="s">
        <v>1224</v>
      </c>
      <c r="G19" s="225" t="s">
        <v>67</v>
      </c>
      <c r="H19" s="267">
        <v>23</v>
      </c>
    </row>
    <row r="20" spans="1:8" ht="19.5" customHeight="1">
      <c r="A20" s="911"/>
      <c r="B20" s="573"/>
      <c r="C20" s="573"/>
      <c r="D20" s="553" t="s">
        <v>143</v>
      </c>
      <c r="E20" s="553"/>
      <c r="F20" s="273" t="s">
        <v>1225</v>
      </c>
      <c r="G20" s="225" t="s">
        <v>67</v>
      </c>
      <c r="H20" s="267">
        <v>34</v>
      </c>
    </row>
    <row r="21" spans="1:9" ht="18" customHeight="1">
      <c r="A21" s="911"/>
      <c r="B21" s="548" t="s">
        <v>122</v>
      </c>
      <c r="C21" s="536" t="s">
        <v>239</v>
      </c>
      <c r="D21" s="573" t="s">
        <v>215</v>
      </c>
      <c r="E21" s="571"/>
      <c r="F21" s="224" t="s">
        <v>1226</v>
      </c>
      <c r="G21" s="277" t="s">
        <v>931</v>
      </c>
      <c r="H21" s="226">
        <f>H22+H23</f>
        <v>3924</v>
      </c>
      <c r="I21" s="317" t="str">
        <f>IF(H21=H22+H23,"OK","Pārbaudi naudā un natūrā izmaksātos pabalstus")</f>
        <v>OK</v>
      </c>
    </row>
    <row r="22" spans="1:8" ht="17.25" customHeight="1">
      <c r="A22" s="911"/>
      <c r="B22" s="913"/>
      <c r="C22" s="537"/>
      <c r="D22" s="573" t="s">
        <v>74</v>
      </c>
      <c r="E22" s="296" t="s">
        <v>216</v>
      </c>
      <c r="F22" s="270" t="s">
        <v>1227</v>
      </c>
      <c r="G22" s="277" t="s">
        <v>931</v>
      </c>
      <c r="H22" s="267">
        <v>3924</v>
      </c>
    </row>
    <row r="23" spans="1:10" ht="21.75" customHeight="1">
      <c r="A23" s="911"/>
      <c r="B23" s="913"/>
      <c r="C23" s="537"/>
      <c r="D23" s="573"/>
      <c r="E23" s="296" t="s">
        <v>217</v>
      </c>
      <c r="F23" s="270" t="s">
        <v>1228</v>
      </c>
      <c r="G23" s="277" t="s">
        <v>931</v>
      </c>
      <c r="H23" s="267">
        <v>0</v>
      </c>
      <c r="J23" s="320"/>
    </row>
    <row r="24" spans="1:9" ht="12.75">
      <c r="A24" s="911"/>
      <c r="B24" s="913"/>
      <c r="C24" s="537"/>
      <c r="D24" s="573" t="s">
        <v>933</v>
      </c>
      <c r="E24" s="571"/>
      <c r="F24" s="273" t="s">
        <v>1229</v>
      </c>
      <c r="G24" s="277" t="s">
        <v>931</v>
      </c>
      <c r="H24" s="267">
        <v>0</v>
      </c>
      <c r="I24" s="317" t="str">
        <f>IF(H24&lt;=H21,"OK","Vienreizējs pabalsts patstāvīgas dzīves uzsākšanai invalīdiem kopš bērnības lielāks kā kopējais izlietoto līdzekļu apjoms!")</f>
        <v>OK</v>
      </c>
    </row>
    <row r="25" spans="1:8" ht="12.75">
      <c r="A25" s="911"/>
      <c r="B25" s="913"/>
      <c r="C25" s="537"/>
      <c r="D25" s="573" t="s">
        <v>238</v>
      </c>
      <c r="E25" s="571"/>
      <c r="F25" s="271" t="s">
        <v>1230</v>
      </c>
      <c r="G25" s="225" t="s">
        <v>67</v>
      </c>
      <c r="H25" s="267">
        <v>17</v>
      </c>
    </row>
    <row r="26" spans="1:9" ht="12.75">
      <c r="A26" s="911"/>
      <c r="B26" s="913"/>
      <c r="C26" s="554"/>
      <c r="D26" s="573" t="s">
        <v>934</v>
      </c>
      <c r="E26" s="571"/>
      <c r="F26" s="273" t="s">
        <v>1231</v>
      </c>
      <c r="G26" s="225" t="s">
        <v>67</v>
      </c>
      <c r="H26" s="267">
        <v>0</v>
      </c>
      <c r="I26" s="317" t="str">
        <f>IF(H26&lt;=H25,"OK","Invalīdu kopš bērnības skaits lielāks ka kopējais personu skaits!")</f>
        <v>OK</v>
      </c>
    </row>
    <row r="27" spans="1:9" ht="36" customHeight="1">
      <c r="A27" s="911"/>
      <c r="B27" s="913"/>
      <c r="C27" s="573" t="s">
        <v>240</v>
      </c>
      <c r="D27" s="573" t="s">
        <v>215</v>
      </c>
      <c r="E27" s="571"/>
      <c r="F27" s="224" t="s">
        <v>1232</v>
      </c>
      <c r="G27" s="277" t="s">
        <v>931</v>
      </c>
      <c r="H27" s="226">
        <f>H28+H29</f>
        <v>16837</v>
      </c>
      <c r="I27" s="317" t="str">
        <f>IF(H27=H28+H29,"OK","Pārbaudi naudā un natūrā izmaksātos pabalstus")</f>
        <v>OK</v>
      </c>
    </row>
    <row r="28" spans="1:8" ht="12.75">
      <c r="A28" s="911"/>
      <c r="B28" s="913"/>
      <c r="C28" s="573"/>
      <c r="D28" s="573" t="s">
        <v>74</v>
      </c>
      <c r="E28" s="296" t="s">
        <v>216</v>
      </c>
      <c r="F28" s="270" t="s">
        <v>1233</v>
      </c>
      <c r="G28" s="277" t="s">
        <v>931</v>
      </c>
      <c r="H28" s="267">
        <v>16837</v>
      </c>
    </row>
    <row r="29" spans="1:8" ht="24" customHeight="1">
      <c r="A29" s="911"/>
      <c r="B29" s="913"/>
      <c r="C29" s="573"/>
      <c r="D29" s="573"/>
      <c r="E29" s="296" t="s">
        <v>217</v>
      </c>
      <c r="F29" s="270" t="s">
        <v>1234</v>
      </c>
      <c r="G29" s="277" t="s">
        <v>931</v>
      </c>
      <c r="H29" s="267">
        <v>0</v>
      </c>
    </row>
    <row r="30" spans="1:8" ht="27" customHeight="1">
      <c r="A30" s="911"/>
      <c r="B30" s="913"/>
      <c r="C30" s="573"/>
      <c r="D30" s="573" t="s">
        <v>238</v>
      </c>
      <c r="E30" s="571"/>
      <c r="F30" s="322" t="s">
        <v>1235</v>
      </c>
      <c r="G30" s="225" t="s">
        <v>67</v>
      </c>
      <c r="H30" s="267">
        <v>20</v>
      </c>
    </row>
    <row r="31" spans="1:9" ht="22.5" customHeight="1">
      <c r="A31" s="911"/>
      <c r="B31" s="913"/>
      <c r="C31" s="573" t="s">
        <v>1013</v>
      </c>
      <c r="D31" s="573" t="s">
        <v>215</v>
      </c>
      <c r="E31" s="571"/>
      <c r="F31" s="224" t="s">
        <v>1236</v>
      </c>
      <c r="G31" s="277" t="s">
        <v>931</v>
      </c>
      <c r="H31" s="226">
        <f>H32+H33</f>
        <v>14952.94</v>
      </c>
      <c r="I31" s="317" t="str">
        <f>IF(H31=H32+H33,"OK","Pārbaudi naudā un natūrā izmaksātos pabalstus")</f>
        <v>OK</v>
      </c>
    </row>
    <row r="32" spans="1:8" ht="23.25" customHeight="1">
      <c r="A32" s="911"/>
      <c r="B32" s="913"/>
      <c r="C32" s="573"/>
      <c r="D32" s="573" t="s">
        <v>74</v>
      </c>
      <c r="E32" s="296" t="s">
        <v>216</v>
      </c>
      <c r="F32" s="270" t="s">
        <v>1237</v>
      </c>
      <c r="G32" s="277" t="s">
        <v>931</v>
      </c>
      <c r="H32" s="267">
        <v>14952.94</v>
      </c>
    </row>
    <row r="33" spans="1:8" ht="27.75" customHeight="1">
      <c r="A33" s="911"/>
      <c r="B33" s="913"/>
      <c r="C33" s="573"/>
      <c r="D33" s="573"/>
      <c r="E33" s="296" t="s">
        <v>217</v>
      </c>
      <c r="F33" s="270" t="s">
        <v>1238</v>
      </c>
      <c r="G33" s="277" t="s">
        <v>931</v>
      </c>
      <c r="H33" s="267">
        <v>0</v>
      </c>
    </row>
    <row r="34" spans="1:8" ht="12.75">
      <c r="A34" s="911"/>
      <c r="B34" s="913"/>
      <c r="C34" s="573"/>
      <c r="D34" s="573" t="s">
        <v>238</v>
      </c>
      <c r="E34" s="571"/>
      <c r="F34" s="271" t="s">
        <v>1239</v>
      </c>
      <c r="G34" s="225" t="s">
        <v>67</v>
      </c>
      <c r="H34" s="267">
        <v>24</v>
      </c>
    </row>
    <row r="35" spans="1:9" ht="12.75">
      <c r="A35" s="911"/>
      <c r="B35" s="913"/>
      <c r="C35" s="573" t="s">
        <v>241</v>
      </c>
      <c r="D35" s="573" t="s">
        <v>215</v>
      </c>
      <c r="E35" s="571"/>
      <c r="F35" s="224" t="s">
        <v>1240</v>
      </c>
      <c r="G35" s="277" t="s">
        <v>931</v>
      </c>
      <c r="H35" s="226">
        <f>H36+H37</f>
        <v>44075.26</v>
      </c>
      <c r="I35" s="317" t="str">
        <f>IF(H35=H36+H37,"OK","Pārbaudi naudā un natūrā izmaksātos pabalstus")</f>
        <v>OK</v>
      </c>
    </row>
    <row r="36" spans="1:8" ht="12.75">
      <c r="A36" s="911"/>
      <c r="B36" s="913"/>
      <c r="C36" s="573"/>
      <c r="D36" s="573" t="s">
        <v>74</v>
      </c>
      <c r="E36" s="296" t="s">
        <v>216</v>
      </c>
      <c r="F36" s="270" t="s">
        <v>1241</v>
      </c>
      <c r="G36" s="277" t="s">
        <v>931</v>
      </c>
      <c r="H36" s="267">
        <v>44075.26</v>
      </c>
    </row>
    <row r="37" spans="1:10" ht="12.75">
      <c r="A37" s="911"/>
      <c r="B37" s="913"/>
      <c r="C37" s="573"/>
      <c r="D37" s="573"/>
      <c r="E37" s="296" t="s">
        <v>217</v>
      </c>
      <c r="F37" s="270" t="s">
        <v>1242</v>
      </c>
      <c r="G37" s="277" t="s">
        <v>931</v>
      </c>
      <c r="H37" s="267">
        <v>0</v>
      </c>
      <c r="J37" s="320"/>
    </row>
    <row r="38" spans="1:9" ht="51" customHeight="1">
      <c r="A38" s="911"/>
      <c r="B38" s="913"/>
      <c r="C38" s="573"/>
      <c r="D38" s="573" t="s">
        <v>933</v>
      </c>
      <c r="E38" s="571"/>
      <c r="F38" s="273" t="s">
        <v>1243</v>
      </c>
      <c r="G38" s="277" t="s">
        <v>931</v>
      </c>
      <c r="H38" s="267">
        <v>652</v>
      </c>
      <c r="I38" s="317" t="str">
        <f>IF(H38&lt;=H35,"OK","Invalīdiem kopš bērnības izlietoto līdzekļu apjoms ir lielāks kā kopējais izlietoto līdzekļu apjoms!")</f>
        <v>OK</v>
      </c>
    </row>
    <row r="39" spans="1:8" ht="12.75">
      <c r="A39" s="911"/>
      <c r="B39" s="913"/>
      <c r="C39" s="573"/>
      <c r="D39" s="573" t="s">
        <v>238</v>
      </c>
      <c r="E39" s="571"/>
      <c r="F39" s="271" t="s">
        <v>1244</v>
      </c>
      <c r="G39" s="225" t="s">
        <v>67</v>
      </c>
      <c r="H39" s="267">
        <v>39</v>
      </c>
    </row>
    <row r="40" spans="1:9" ht="23.25" customHeight="1">
      <c r="A40" s="911"/>
      <c r="B40" s="913"/>
      <c r="C40" s="573"/>
      <c r="D40" s="573" t="s">
        <v>934</v>
      </c>
      <c r="E40" s="571"/>
      <c r="F40" s="273" t="s">
        <v>1245</v>
      </c>
      <c r="G40" s="225" t="s">
        <v>67</v>
      </c>
      <c r="H40" s="267">
        <v>1</v>
      </c>
      <c r="I40" s="317" t="str">
        <f>IF(H40&lt;=H39,"OK","Invalīdu kopš bērnības skaits lielāks ka kopējais personu skaits!")</f>
        <v>OK</v>
      </c>
    </row>
    <row r="41" spans="1:9" ht="12.75">
      <c r="A41" s="911"/>
      <c r="B41" s="913"/>
      <c r="C41" s="573" t="s">
        <v>242</v>
      </c>
      <c r="D41" s="573" t="s">
        <v>215</v>
      </c>
      <c r="E41" s="571"/>
      <c r="F41" s="224" t="s">
        <v>1246</v>
      </c>
      <c r="G41" s="277" t="s">
        <v>931</v>
      </c>
      <c r="H41" s="226">
        <f>H42+H43</f>
        <v>0</v>
      </c>
      <c r="I41" s="317" t="str">
        <f>IF(H41=H42+H43,"OK","Pārbaudi naudā un natūrā izmaksātos pabalstus")</f>
        <v>OK</v>
      </c>
    </row>
    <row r="42" spans="1:8" ht="12.75">
      <c r="A42" s="911"/>
      <c r="B42" s="913"/>
      <c r="C42" s="573"/>
      <c r="D42" s="573" t="s">
        <v>74</v>
      </c>
      <c r="E42" s="296" t="s">
        <v>216</v>
      </c>
      <c r="F42" s="270" t="s">
        <v>1247</v>
      </c>
      <c r="G42" s="277" t="s">
        <v>931</v>
      </c>
      <c r="H42" s="267">
        <v>0</v>
      </c>
    </row>
    <row r="43" spans="1:8" ht="12.75">
      <c r="A43" s="911"/>
      <c r="B43" s="913"/>
      <c r="C43" s="573"/>
      <c r="D43" s="573"/>
      <c r="E43" s="296" t="s">
        <v>217</v>
      </c>
      <c r="F43" s="270" t="s">
        <v>1248</v>
      </c>
      <c r="G43" s="277" t="s">
        <v>931</v>
      </c>
      <c r="H43" s="267">
        <v>0</v>
      </c>
    </row>
    <row r="44" spans="1:8" ht="12.75" customHeight="1">
      <c r="A44" s="911"/>
      <c r="B44" s="913"/>
      <c r="C44" s="573"/>
      <c r="D44" s="573" t="s">
        <v>238</v>
      </c>
      <c r="E44" s="571"/>
      <c r="F44" s="271" t="s">
        <v>1249</v>
      </c>
      <c r="G44" s="225" t="s">
        <v>67</v>
      </c>
      <c r="H44" s="267">
        <v>0</v>
      </c>
    </row>
    <row r="45" spans="1:10" ht="12.75">
      <c r="A45" s="911"/>
      <c r="B45" s="573" t="s">
        <v>246</v>
      </c>
      <c r="C45" s="535" t="s">
        <v>215</v>
      </c>
      <c r="D45" s="827"/>
      <c r="E45" s="827"/>
      <c r="F45" s="224" t="s">
        <v>1250</v>
      </c>
      <c r="G45" s="277" t="s">
        <v>931</v>
      </c>
      <c r="H45" s="226">
        <f>H50+H55+H60</f>
        <v>131865.47999999998</v>
      </c>
      <c r="I45" s="317" t="str">
        <f>IF(H45=H46+H47,"OK","Pārbaudi naudā un natūrā izmaksātos pabalstus")</f>
        <v>OK</v>
      </c>
      <c r="J45" s="318"/>
    </row>
    <row r="46" spans="1:10" ht="12.75">
      <c r="A46" s="911"/>
      <c r="B46" s="822"/>
      <c r="C46" s="573" t="s">
        <v>74</v>
      </c>
      <c r="D46" s="553" t="s">
        <v>216</v>
      </c>
      <c r="E46" s="553"/>
      <c r="F46" s="270" t="s">
        <v>1251</v>
      </c>
      <c r="G46" s="277" t="s">
        <v>931</v>
      </c>
      <c r="H46" s="226">
        <f>H51+H56+H61</f>
        <v>131865.47999999998</v>
      </c>
      <c r="J46" s="319"/>
    </row>
    <row r="47" spans="1:8" ht="12.75">
      <c r="A47" s="911"/>
      <c r="B47" s="822"/>
      <c r="C47" s="573"/>
      <c r="D47" s="553" t="s">
        <v>217</v>
      </c>
      <c r="E47" s="553"/>
      <c r="F47" s="270" t="s">
        <v>1252</v>
      </c>
      <c r="G47" s="277" t="s">
        <v>931</v>
      </c>
      <c r="H47" s="226">
        <f>H52+H57+H62</f>
        <v>0</v>
      </c>
    </row>
    <row r="48" spans="1:9" ht="25.5">
      <c r="A48" s="911"/>
      <c r="B48" s="822"/>
      <c r="C48" s="535" t="s">
        <v>979</v>
      </c>
      <c r="D48" s="827"/>
      <c r="E48" s="827"/>
      <c r="F48" s="271" t="s">
        <v>1253</v>
      </c>
      <c r="G48" s="225" t="s">
        <v>953</v>
      </c>
      <c r="H48" s="267">
        <v>25</v>
      </c>
      <c r="I48" s="317" t="str">
        <f>IF(AND(H48&gt;=H53,H48&gt;=H58,H48&gt;=H63),"OK","Pārbaudiet mājsaimniecību sadalījumu pa audžuģimeņu pabalsta veidiem!")</f>
        <v>OK</v>
      </c>
    </row>
    <row r="49" spans="1:8" ht="12.75">
      <c r="A49" s="911"/>
      <c r="B49" s="822"/>
      <c r="C49" s="535" t="s">
        <v>243</v>
      </c>
      <c r="D49" s="827"/>
      <c r="E49" s="827"/>
      <c r="F49" s="273" t="s">
        <v>1254</v>
      </c>
      <c r="G49" s="225" t="s">
        <v>67</v>
      </c>
      <c r="H49" s="267">
        <v>22</v>
      </c>
    </row>
    <row r="50" spans="1:9" ht="12.75">
      <c r="A50" s="911"/>
      <c r="B50" s="911" t="s">
        <v>122</v>
      </c>
      <c r="C50" s="573" t="s">
        <v>244</v>
      </c>
      <c r="D50" s="573" t="s">
        <v>215</v>
      </c>
      <c r="E50" s="571"/>
      <c r="F50" s="224" t="s">
        <v>1255</v>
      </c>
      <c r="G50" s="277" t="s">
        <v>931</v>
      </c>
      <c r="H50" s="226">
        <f>H51+H52</f>
        <v>129165.48</v>
      </c>
      <c r="I50" s="317" t="str">
        <f>IF(H50=H51+H52,"OK","Pārbaudi naudā un natūrā izmaksātos pabalstus")</f>
        <v>OK</v>
      </c>
    </row>
    <row r="51" spans="1:8" ht="12.75">
      <c r="A51" s="911"/>
      <c r="B51" s="911"/>
      <c r="C51" s="822"/>
      <c r="D51" s="573" t="s">
        <v>74</v>
      </c>
      <c r="E51" s="296" t="s">
        <v>216</v>
      </c>
      <c r="F51" s="270" t="s">
        <v>1256</v>
      </c>
      <c r="G51" s="277" t="s">
        <v>931</v>
      </c>
      <c r="H51" s="267">
        <v>129165.48</v>
      </c>
    </row>
    <row r="52" spans="1:10" ht="12.75">
      <c r="A52" s="911"/>
      <c r="B52" s="911"/>
      <c r="C52" s="822"/>
      <c r="D52" s="573"/>
      <c r="E52" s="296" t="s">
        <v>217</v>
      </c>
      <c r="F52" s="270" t="s">
        <v>1257</v>
      </c>
      <c r="G52" s="277" t="s">
        <v>931</v>
      </c>
      <c r="H52" s="267">
        <v>0</v>
      </c>
      <c r="J52" s="320"/>
    </row>
    <row r="53" spans="1:8" ht="25.5">
      <c r="A53" s="911"/>
      <c r="B53" s="911"/>
      <c r="C53" s="822"/>
      <c r="D53" s="573" t="s">
        <v>979</v>
      </c>
      <c r="E53" s="571"/>
      <c r="F53" s="271" t="s">
        <v>1258</v>
      </c>
      <c r="G53" s="225" t="s">
        <v>953</v>
      </c>
      <c r="H53" s="267">
        <v>25</v>
      </c>
    </row>
    <row r="54" spans="1:8" ht="12.75">
      <c r="A54" s="911"/>
      <c r="B54" s="911"/>
      <c r="C54" s="822"/>
      <c r="D54" s="535" t="s">
        <v>243</v>
      </c>
      <c r="E54" s="535"/>
      <c r="F54" s="273" t="s">
        <v>1259</v>
      </c>
      <c r="G54" s="225" t="s">
        <v>67</v>
      </c>
      <c r="H54" s="267">
        <v>22</v>
      </c>
    </row>
    <row r="55" spans="1:9" ht="12.75">
      <c r="A55" s="911"/>
      <c r="B55" s="911"/>
      <c r="C55" s="573" t="s">
        <v>245</v>
      </c>
      <c r="D55" s="573" t="s">
        <v>215</v>
      </c>
      <c r="E55" s="571"/>
      <c r="F55" s="224" t="s">
        <v>1260</v>
      </c>
      <c r="G55" s="277" t="s">
        <v>931</v>
      </c>
      <c r="H55" s="226">
        <f>H56+H57</f>
        <v>2700</v>
      </c>
      <c r="I55" s="317" t="str">
        <f>IF(H55=H56+H57,"OK","Pārbaudi naudā un natūrā izmaksātos pabalstus")</f>
        <v>OK</v>
      </c>
    </row>
    <row r="56" spans="1:8" ht="12.75">
      <c r="A56" s="911"/>
      <c r="B56" s="911"/>
      <c r="C56" s="822"/>
      <c r="D56" s="573" t="s">
        <v>74</v>
      </c>
      <c r="E56" s="296" t="s">
        <v>216</v>
      </c>
      <c r="F56" s="270" t="s">
        <v>1261</v>
      </c>
      <c r="G56" s="277" t="s">
        <v>931</v>
      </c>
      <c r="H56" s="267">
        <v>2700</v>
      </c>
    </row>
    <row r="57" spans="1:8" ht="12.75">
      <c r="A57" s="911"/>
      <c r="B57" s="911"/>
      <c r="C57" s="822"/>
      <c r="D57" s="573"/>
      <c r="E57" s="296" t="s">
        <v>217</v>
      </c>
      <c r="F57" s="270" t="s">
        <v>1262</v>
      </c>
      <c r="G57" s="277" t="s">
        <v>931</v>
      </c>
      <c r="H57" s="267">
        <v>0</v>
      </c>
    </row>
    <row r="58" spans="1:8" ht="25.5">
      <c r="A58" s="911"/>
      <c r="B58" s="911"/>
      <c r="C58" s="822"/>
      <c r="D58" s="573" t="s">
        <v>979</v>
      </c>
      <c r="E58" s="571"/>
      <c r="F58" s="271" t="s">
        <v>1263</v>
      </c>
      <c r="G58" s="225" t="s">
        <v>953</v>
      </c>
      <c r="H58" s="267">
        <v>4</v>
      </c>
    </row>
    <row r="59" spans="1:8" ht="13.5" thickBot="1">
      <c r="A59" s="911"/>
      <c r="B59" s="911"/>
      <c r="C59" s="912"/>
      <c r="D59" s="543" t="s">
        <v>243</v>
      </c>
      <c r="E59" s="543"/>
      <c r="F59" s="323" t="s">
        <v>1264</v>
      </c>
      <c r="G59" s="279" t="s">
        <v>67</v>
      </c>
      <c r="H59" s="281">
        <v>0</v>
      </c>
    </row>
    <row r="60" spans="1:9" ht="12.75">
      <c r="A60" s="911"/>
      <c r="B60" s="911"/>
      <c r="C60" s="573" t="s">
        <v>1014</v>
      </c>
      <c r="D60" s="573" t="s">
        <v>215</v>
      </c>
      <c r="E60" s="571"/>
      <c r="F60" s="224" t="s">
        <v>1265</v>
      </c>
      <c r="G60" s="277" t="s">
        <v>931</v>
      </c>
      <c r="H60" s="226">
        <f>H61+H62</f>
        <v>0</v>
      </c>
      <c r="I60" s="317" t="str">
        <f>IF(H60=H61+H62,"OK","Pārbaudi naudā un natūrā izmaksātos pabalstus")</f>
        <v>OK</v>
      </c>
    </row>
    <row r="61" spans="1:11" ht="15">
      <c r="A61" s="911"/>
      <c r="B61" s="911"/>
      <c r="C61" s="822"/>
      <c r="D61" s="573" t="s">
        <v>74</v>
      </c>
      <c r="E61" s="296" t="s">
        <v>216</v>
      </c>
      <c r="F61" s="224" t="s">
        <v>1267</v>
      </c>
      <c r="G61" s="277" t="s">
        <v>931</v>
      </c>
      <c r="H61" s="267">
        <v>0</v>
      </c>
      <c r="K61" s="324"/>
    </row>
    <row r="62" spans="1:8" ht="12.75">
      <c r="A62" s="911"/>
      <c r="B62" s="911"/>
      <c r="C62" s="822"/>
      <c r="D62" s="573"/>
      <c r="E62" s="296" t="s">
        <v>217</v>
      </c>
      <c r="F62" s="224" t="s">
        <v>1268</v>
      </c>
      <c r="G62" s="277" t="s">
        <v>931</v>
      </c>
      <c r="H62" s="267">
        <v>0</v>
      </c>
    </row>
    <row r="63" spans="1:10" ht="25.5">
      <c r="A63" s="911"/>
      <c r="B63" s="911"/>
      <c r="C63" s="822"/>
      <c r="D63" s="573" t="s">
        <v>979</v>
      </c>
      <c r="E63" s="571"/>
      <c r="F63" s="224" t="s">
        <v>1266</v>
      </c>
      <c r="G63" s="225" t="s">
        <v>953</v>
      </c>
      <c r="H63" s="267">
        <v>0</v>
      </c>
      <c r="J63" s="325"/>
    </row>
    <row r="64" spans="1:10" ht="13.5" thickBot="1">
      <c r="A64" s="911"/>
      <c r="B64" s="911"/>
      <c r="C64" s="912"/>
      <c r="D64" s="543" t="s">
        <v>243</v>
      </c>
      <c r="E64" s="543"/>
      <c r="F64" s="224" t="s">
        <v>1269</v>
      </c>
      <c r="G64" s="279" t="s">
        <v>67</v>
      </c>
      <c r="H64" s="281">
        <v>0</v>
      </c>
      <c r="J64" s="325"/>
    </row>
    <row r="67" ht="12.75">
      <c r="F67" s="307"/>
    </row>
    <row r="68" ht="12.75">
      <c r="F68" s="307"/>
    </row>
    <row r="69" ht="12.75">
      <c r="F69" s="307"/>
    </row>
    <row r="70" ht="12.75">
      <c r="F70" s="307"/>
    </row>
    <row r="71" ht="12.75">
      <c r="F71" s="307"/>
    </row>
    <row r="72" ht="12.75">
      <c r="F72" s="307"/>
    </row>
    <row r="73" ht="12.75">
      <c r="F73" s="307"/>
    </row>
    <row r="74" ht="12.75">
      <c r="F74" s="307"/>
    </row>
    <row r="75" ht="12.75">
      <c r="F75" s="307"/>
    </row>
    <row r="76" ht="12.75">
      <c r="F76" s="307"/>
    </row>
    <row r="77" ht="12.75">
      <c r="F77" s="307"/>
    </row>
    <row r="78" ht="12.75">
      <c r="F78" s="307"/>
    </row>
    <row r="79" ht="12.75">
      <c r="F79" s="307"/>
    </row>
    <row r="80" ht="12.75">
      <c r="F80" s="307"/>
    </row>
    <row r="81" ht="12.75">
      <c r="F81" s="307"/>
    </row>
    <row r="82" ht="12.75">
      <c r="F82" s="307"/>
    </row>
    <row r="83" ht="12.75">
      <c r="F83" s="307"/>
    </row>
    <row r="84" ht="12.75">
      <c r="F84" s="307"/>
    </row>
    <row r="85" ht="12.75">
      <c r="F85" s="307"/>
    </row>
    <row r="86" ht="12.75">
      <c r="F86" s="307"/>
    </row>
    <row r="87" ht="12.75">
      <c r="F87" s="307"/>
    </row>
    <row r="88" ht="12.75">
      <c r="F88" s="307"/>
    </row>
    <row r="89" ht="12.75">
      <c r="F89" s="307"/>
    </row>
    <row r="90" ht="12.75">
      <c r="F90" s="307"/>
    </row>
    <row r="91" ht="12.75">
      <c r="F91" s="307"/>
    </row>
    <row r="92" ht="12.75">
      <c r="F92" s="307"/>
    </row>
    <row r="93" ht="12.75">
      <c r="F93" s="307"/>
    </row>
    <row r="94" ht="12.75">
      <c r="F94" s="307"/>
    </row>
    <row r="95" ht="12.75">
      <c r="F95" s="307"/>
    </row>
    <row r="96" ht="12.75">
      <c r="F96" s="307"/>
    </row>
    <row r="97" ht="12.75">
      <c r="F97" s="307"/>
    </row>
    <row r="98" ht="12.75">
      <c r="F98" s="307"/>
    </row>
    <row r="99" ht="12.75">
      <c r="F99" s="307"/>
    </row>
    <row r="100" ht="12.75">
      <c r="F100" s="307"/>
    </row>
    <row r="101" ht="12.75">
      <c r="F101" s="307"/>
    </row>
    <row r="102" ht="12.75">
      <c r="F102" s="307"/>
    </row>
    <row r="103" ht="12.75">
      <c r="F103" s="307"/>
    </row>
    <row r="104" ht="12.75">
      <c r="F104" s="307"/>
    </row>
    <row r="105" ht="12.75">
      <c r="F105" s="307"/>
    </row>
    <row r="106" ht="12.75">
      <c r="F106" s="307"/>
    </row>
    <row r="107" ht="12.75">
      <c r="F107" s="307"/>
    </row>
    <row r="108" ht="12.75">
      <c r="F108" s="307"/>
    </row>
    <row r="109" ht="12.75">
      <c r="F109" s="307"/>
    </row>
    <row r="110" ht="12.75">
      <c r="F110" s="307"/>
    </row>
    <row r="111" ht="23.25" customHeight="1">
      <c r="F111" s="307"/>
    </row>
    <row r="112" ht="12.75">
      <c r="F112" s="307"/>
    </row>
    <row r="113" ht="12.75">
      <c r="F113" s="307"/>
    </row>
  </sheetData>
  <sheetProtection password="CE88" sheet="1" objects="1" scenarios="1"/>
  <mergeCells count="76">
    <mergeCell ref="A4:A14"/>
    <mergeCell ref="B5:B6"/>
    <mergeCell ref="B10:B13"/>
    <mergeCell ref="C12:C13"/>
    <mergeCell ref="B4:E4"/>
    <mergeCell ref="A3:E3"/>
    <mergeCell ref="D10:E10"/>
    <mergeCell ref="A2:H2"/>
    <mergeCell ref="D16:E16"/>
    <mergeCell ref="D17:E17"/>
    <mergeCell ref="C10:C11"/>
    <mergeCell ref="C15:E15"/>
    <mergeCell ref="C5:E5"/>
    <mergeCell ref="C6:E6"/>
    <mergeCell ref="B7:E7"/>
    <mergeCell ref="B8:E8"/>
    <mergeCell ref="B9:E9"/>
    <mergeCell ref="D18:E18"/>
    <mergeCell ref="D11:E11"/>
    <mergeCell ref="D12:E12"/>
    <mergeCell ref="D13:E13"/>
    <mergeCell ref="B14:E14"/>
    <mergeCell ref="B15:B20"/>
    <mergeCell ref="C16:C17"/>
    <mergeCell ref="C18:C20"/>
    <mergeCell ref="D19:E19"/>
    <mergeCell ref="D20:E20"/>
    <mergeCell ref="D39:E39"/>
    <mergeCell ref="D27:E27"/>
    <mergeCell ref="D32:D33"/>
    <mergeCell ref="C31:C34"/>
    <mergeCell ref="C21:C26"/>
    <mergeCell ref="D21:E21"/>
    <mergeCell ref="D24:E24"/>
    <mergeCell ref="D25:E25"/>
    <mergeCell ref="D26:E26"/>
    <mergeCell ref="C27:C30"/>
    <mergeCell ref="D56:D57"/>
    <mergeCell ref="D58:E58"/>
    <mergeCell ref="D59:E59"/>
    <mergeCell ref="C55:C59"/>
    <mergeCell ref="D34:E34"/>
    <mergeCell ref="D31:E31"/>
    <mergeCell ref="D36:D37"/>
    <mergeCell ref="D38:E38"/>
    <mergeCell ref="D54:E54"/>
    <mergeCell ref="C41:C44"/>
    <mergeCell ref="B45:B49"/>
    <mergeCell ref="C48:E48"/>
    <mergeCell ref="C49:E49"/>
    <mergeCell ref="C50:C54"/>
    <mergeCell ref="B21:B44"/>
    <mergeCell ref="D22:D23"/>
    <mergeCell ref="D28:D29"/>
    <mergeCell ref="C35:C40"/>
    <mergeCell ref="D35:E35"/>
    <mergeCell ref="D30:E30"/>
    <mergeCell ref="D42:D43"/>
    <mergeCell ref="D50:E50"/>
    <mergeCell ref="D40:E40"/>
    <mergeCell ref="C45:E45"/>
    <mergeCell ref="C46:C47"/>
    <mergeCell ref="D46:E46"/>
    <mergeCell ref="D47:E47"/>
    <mergeCell ref="D41:E41"/>
    <mergeCell ref="D44:E44"/>
    <mergeCell ref="D64:E64"/>
    <mergeCell ref="B50:B64"/>
    <mergeCell ref="D55:E55"/>
    <mergeCell ref="D53:E53"/>
    <mergeCell ref="D51:D52"/>
    <mergeCell ref="A15:A64"/>
    <mergeCell ref="C60:C64"/>
    <mergeCell ref="D60:E60"/>
    <mergeCell ref="D61:D62"/>
    <mergeCell ref="D63:E63"/>
  </mergeCells>
  <printOptions/>
  <pageMargins left="0.75" right="0.75" top="0.45" bottom="0.4" header="0.24" footer="0.23"/>
  <pageSetup horizontalDpi="1200" verticalDpi="1200" orientation="portrait" paperSize="9" r:id="rId1"/>
  <headerFooter alignWithMargins="0">
    <oddFooter>&amp;R29 - 30</oddFooter>
  </headerFooter>
</worksheet>
</file>

<file path=xl/worksheets/sheet25.xml><?xml version="1.0" encoding="utf-8"?>
<worksheet xmlns="http://schemas.openxmlformats.org/spreadsheetml/2006/main" xmlns:r="http://schemas.openxmlformats.org/officeDocument/2006/relationships">
  <dimension ref="A1:J53"/>
  <sheetViews>
    <sheetView zoomScalePageLayoutView="0" workbookViewId="0" topLeftCell="A25">
      <selection activeCell="J9" sqref="J9"/>
    </sheetView>
  </sheetViews>
  <sheetFormatPr defaultColWidth="9.140625" defaultRowHeight="12.75"/>
  <cols>
    <col min="1" max="1" width="14.00390625" style="307" customWidth="1"/>
    <col min="2" max="2" width="9.140625" style="307" customWidth="1"/>
    <col min="3" max="3" width="10.7109375" style="307" customWidth="1"/>
    <col min="4" max="4" width="10.421875" style="307" customWidth="1"/>
    <col min="5" max="5" width="8.57421875" style="307" customWidth="1"/>
    <col min="6" max="6" width="10.8515625" style="307" customWidth="1"/>
    <col min="7" max="7" width="13.7109375" style="307" customWidth="1"/>
    <col min="8" max="16384" width="9.140625" style="307" customWidth="1"/>
  </cols>
  <sheetData>
    <row r="1" spans="1:7" ht="16.5" thickBot="1">
      <c r="A1" s="343" t="s">
        <v>1314</v>
      </c>
      <c r="B1" s="344"/>
      <c r="C1" s="344"/>
      <c r="D1" s="344"/>
      <c r="E1" s="344"/>
      <c r="F1" s="344"/>
      <c r="G1" s="344"/>
    </row>
    <row r="2" spans="1:8" ht="15" thickBot="1">
      <c r="A2" s="922" t="s">
        <v>63</v>
      </c>
      <c r="B2" s="923"/>
      <c r="C2" s="923"/>
      <c r="D2" s="923"/>
      <c r="E2" s="923"/>
      <c r="F2" s="360" t="s">
        <v>60</v>
      </c>
      <c r="G2" s="361" t="s">
        <v>61</v>
      </c>
      <c r="H2" s="362" t="s">
        <v>62</v>
      </c>
    </row>
    <row r="3" spans="1:9" ht="12.75">
      <c r="A3" s="924" t="s">
        <v>1057</v>
      </c>
      <c r="B3" s="926" t="s">
        <v>215</v>
      </c>
      <c r="C3" s="926"/>
      <c r="D3" s="926"/>
      <c r="E3" s="926"/>
      <c r="F3" s="345">
        <v>501</v>
      </c>
      <c r="G3" s="346" t="s">
        <v>931</v>
      </c>
      <c r="H3" s="354">
        <f>H21+H26+H31</f>
        <v>0</v>
      </c>
      <c r="I3" s="317" t="str">
        <f>IF(H3=H4+H5,"OK","Pārbaudiet naudā un natūrā izmaksātos pabalstus daudzbērnu ģimenēm")</f>
        <v>OK</v>
      </c>
    </row>
    <row r="4" spans="1:8" ht="12.75">
      <c r="A4" s="925"/>
      <c r="B4" s="919" t="s">
        <v>74</v>
      </c>
      <c r="C4" s="919" t="s">
        <v>216</v>
      </c>
      <c r="D4" s="919"/>
      <c r="E4" s="919"/>
      <c r="F4" s="348">
        <v>5011</v>
      </c>
      <c r="G4" s="349" t="s">
        <v>931</v>
      </c>
      <c r="H4" s="355">
        <v>0</v>
      </c>
    </row>
    <row r="5" spans="1:8" ht="12.75">
      <c r="A5" s="925"/>
      <c r="B5" s="919"/>
      <c r="C5" s="919" t="s">
        <v>217</v>
      </c>
      <c r="D5" s="919"/>
      <c r="E5" s="919"/>
      <c r="F5" s="348">
        <v>5012</v>
      </c>
      <c r="G5" s="349" t="s">
        <v>931</v>
      </c>
      <c r="H5" s="355">
        <v>0</v>
      </c>
    </row>
    <row r="6" spans="1:8" ht="25.5">
      <c r="A6" s="925"/>
      <c r="B6" s="919" t="s">
        <v>979</v>
      </c>
      <c r="C6" s="919"/>
      <c r="D6" s="919"/>
      <c r="E6" s="919"/>
      <c r="F6" s="348">
        <v>502</v>
      </c>
      <c r="G6" s="350" t="s">
        <v>953</v>
      </c>
      <c r="H6" s="356">
        <v>0</v>
      </c>
    </row>
    <row r="7" spans="1:9" ht="12.75">
      <c r="A7" s="925"/>
      <c r="B7" s="919" t="s">
        <v>949</v>
      </c>
      <c r="C7" s="919"/>
      <c r="D7" s="919"/>
      <c r="E7" s="919"/>
      <c r="F7" s="322">
        <v>503</v>
      </c>
      <c r="G7" s="350" t="s">
        <v>67</v>
      </c>
      <c r="H7" s="357">
        <f>H12+H14+H19+H20</f>
        <v>0</v>
      </c>
      <c r="I7" s="317" t="str">
        <f>IF(H7=H8+H9+H10+H11,"OK","Pārbaudiet saņēmēju skaita sadalījumu pa vecumiem un dzimumiem")</f>
        <v>OK</v>
      </c>
    </row>
    <row r="8" spans="1:8" ht="12.75">
      <c r="A8" s="925"/>
      <c r="B8" s="548" t="s">
        <v>105</v>
      </c>
      <c r="C8" s="548" t="s">
        <v>140</v>
      </c>
      <c r="D8" s="919" t="s">
        <v>218</v>
      </c>
      <c r="E8" s="919"/>
      <c r="F8" s="322">
        <v>5031</v>
      </c>
      <c r="G8" s="350" t="s">
        <v>67</v>
      </c>
      <c r="H8" s="356">
        <v>0</v>
      </c>
    </row>
    <row r="9" spans="1:8" ht="12.75">
      <c r="A9" s="925"/>
      <c r="B9" s="548"/>
      <c r="C9" s="548"/>
      <c r="D9" s="919" t="s">
        <v>143</v>
      </c>
      <c r="E9" s="919"/>
      <c r="F9" s="322">
        <v>5032</v>
      </c>
      <c r="G9" s="350" t="s">
        <v>67</v>
      </c>
      <c r="H9" s="356">
        <v>0</v>
      </c>
    </row>
    <row r="10" spans="1:9" ht="12.75">
      <c r="A10" s="925"/>
      <c r="B10" s="548"/>
      <c r="C10" s="919" t="s">
        <v>141</v>
      </c>
      <c r="D10" s="919" t="s">
        <v>218</v>
      </c>
      <c r="E10" s="919"/>
      <c r="F10" s="322">
        <v>5033</v>
      </c>
      <c r="G10" s="350" t="s">
        <v>67</v>
      </c>
      <c r="H10" s="356">
        <v>0</v>
      </c>
      <c r="I10" s="317" t="str">
        <f>IF(H10+H11=H14+H19+H20,"OK","Pārbaudiet pilngadīgu personu skaita sadalījumu!")</f>
        <v>OK</v>
      </c>
    </row>
    <row r="11" spans="1:8" ht="12.75">
      <c r="A11" s="925"/>
      <c r="B11" s="548"/>
      <c r="C11" s="919"/>
      <c r="D11" s="919" t="s">
        <v>143</v>
      </c>
      <c r="E11" s="919"/>
      <c r="F11" s="322" t="s">
        <v>1079</v>
      </c>
      <c r="G11" s="350" t="s">
        <v>67</v>
      </c>
      <c r="H11" s="356">
        <v>0</v>
      </c>
    </row>
    <row r="12" spans="1:9" ht="12.75">
      <c r="A12" s="925"/>
      <c r="B12" s="548" t="s">
        <v>105</v>
      </c>
      <c r="C12" s="919" t="s">
        <v>140</v>
      </c>
      <c r="D12" s="919"/>
      <c r="E12" s="919"/>
      <c r="F12" s="322">
        <v>504</v>
      </c>
      <c r="G12" s="350" t="s">
        <v>67</v>
      </c>
      <c r="H12" s="356">
        <v>0</v>
      </c>
      <c r="I12" s="317" t="str">
        <f>IF(H12=H8+H9,"OK","Pārbaudiet klientu sadalījumu pa dzimumiem!")</f>
        <v>OK</v>
      </c>
    </row>
    <row r="13" spans="1:9" ht="12.75">
      <c r="A13" s="925"/>
      <c r="B13" s="548"/>
      <c r="C13" s="919" t="s">
        <v>219</v>
      </c>
      <c r="D13" s="919"/>
      <c r="E13" s="919"/>
      <c r="F13" s="322">
        <v>5041</v>
      </c>
      <c r="G13" s="350" t="s">
        <v>67</v>
      </c>
      <c r="H13" s="356">
        <v>0</v>
      </c>
      <c r="I13" s="317" t="str">
        <f>IF(H13&lt;=H12,"OK","Bērnu ar invaliditāti skaits pārsniedz kopējo bērnu skaitu!")</f>
        <v>OK</v>
      </c>
    </row>
    <row r="14" spans="1:8" ht="12.75">
      <c r="A14" s="925"/>
      <c r="B14" s="548"/>
      <c r="C14" s="919" t="s">
        <v>220</v>
      </c>
      <c r="D14" s="919"/>
      <c r="E14" s="919"/>
      <c r="F14" s="322">
        <v>505</v>
      </c>
      <c r="G14" s="350" t="s">
        <v>67</v>
      </c>
      <c r="H14" s="357">
        <f>H15+H16+H17</f>
        <v>0</v>
      </c>
    </row>
    <row r="15" spans="1:8" ht="12.75">
      <c r="A15" s="925"/>
      <c r="B15" s="548"/>
      <c r="C15" s="548" t="s">
        <v>105</v>
      </c>
      <c r="D15" s="919" t="s">
        <v>221</v>
      </c>
      <c r="E15" s="919"/>
      <c r="F15" s="322">
        <v>5051</v>
      </c>
      <c r="G15" s="350" t="s">
        <v>67</v>
      </c>
      <c r="H15" s="356">
        <v>0</v>
      </c>
    </row>
    <row r="16" spans="1:8" ht="12.75">
      <c r="A16" s="925"/>
      <c r="B16" s="548"/>
      <c r="C16" s="548"/>
      <c r="D16" s="919" t="s">
        <v>222</v>
      </c>
      <c r="E16" s="919"/>
      <c r="F16" s="322">
        <v>5052</v>
      </c>
      <c r="G16" s="350" t="s">
        <v>67</v>
      </c>
      <c r="H16" s="356">
        <v>0</v>
      </c>
    </row>
    <row r="17" spans="1:8" ht="12.75">
      <c r="A17" s="925"/>
      <c r="B17" s="548"/>
      <c r="C17" s="548"/>
      <c r="D17" s="919" t="s">
        <v>223</v>
      </c>
      <c r="E17" s="919"/>
      <c r="F17" s="322">
        <v>5053</v>
      </c>
      <c r="G17" s="350" t="s">
        <v>67</v>
      </c>
      <c r="H17" s="356">
        <v>0</v>
      </c>
    </row>
    <row r="18" spans="1:9" ht="26.25" customHeight="1">
      <c r="A18" s="925"/>
      <c r="B18" s="548"/>
      <c r="C18" s="919" t="s">
        <v>848</v>
      </c>
      <c r="D18" s="919"/>
      <c r="E18" s="919"/>
      <c r="F18" s="322">
        <v>5054</v>
      </c>
      <c r="G18" s="350" t="s">
        <v>67</v>
      </c>
      <c r="H18" s="356">
        <v>0</v>
      </c>
      <c r="I18" s="317" t="str">
        <f>IF(H18&lt;=H14,"OK","Personu skaits, kuras veic darba praktizēšanu pašvaldībās ar stipendiju, ir lielāks kā pilngadīgu darbspējīgu personu skaits!")</f>
        <v>OK</v>
      </c>
    </row>
    <row r="19" spans="1:8" ht="12.75">
      <c r="A19" s="925"/>
      <c r="B19" s="548"/>
      <c r="C19" s="919" t="s">
        <v>158</v>
      </c>
      <c r="D19" s="919"/>
      <c r="E19" s="919"/>
      <c r="F19" s="322">
        <v>506</v>
      </c>
      <c r="G19" s="350" t="s">
        <v>67</v>
      </c>
      <c r="H19" s="356">
        <v>0</v>
      </c>
    </row>
    <row r="20" spans="1:8" ht="12.75">
      <c r="A20" s="925"/>
      <c r="B20" s="548"/>
      <c r="C20" s="919" t="s">
        <v>160</v>
      </c>
      <c r="D20" s="919"/>
      <c r="E20" s="919"/>
      <c r="F20" s="322">
        <v>507</v>
      </c>
      <c r="G20" s="350" t="s">
        <v>67</v>
      </c>
      <c r="H20" s="356">
        <v>0</v>
      </c>
    </row>
    <row r="21" spans="1:8" ht="12.75">
      <c r="A21" s="916" t="s">
        <v>122</v>
      </c>
      <c r="B21" s="919" t="s">
        <v>1016</v>
      </c>
      <c r="C21" s="919" t="s">
        <v>215</v>
      </c>
      <c r="D21" s="919"/>
      <c r="E21" s="919"/>
      <c r="F21" s="322">
        <v>508</v>
      </c>
      <c r="G21" s="350" t="s">
        <v>931</v>
      </c>
      <c r="H21" s="356">
        <v>0</v>
      </c>
    </row>
    <row r="22" spans="1:8" ht="25.5">
      <c r="A22" s="916"/>
      <c r="B22" s="919"/>
      <c r="C22" s="919" t="s">
        <v>979</v>
      </c>
      <c r="D22" s="919"/>
      <c r="E22" s="919"/>
      <c r="F22" s="322">
        <v>509</v>
      </c>
      <c r="G22" s="350" t="s">
        <v>953</v>
      </c>
      <c r="H22" s="356">
        <v>0</v>
      </c>
    </row>
    <row r="23" spans="1:10" ht="12.75">
      <c r="A23" s="916"/>
      <c r="B23" s="919"/>
      <c r="C23" s="919" t="s">
        <v>949</v>
      </c>
      <c r="D23" s="919"/>
      <c r="E23" s="919"/>
      <c r="F23" s="322">
        <v>510</v>
      </c>
      <c r="G23" s="350" t="s">
        <v>67</v>
      </c>
      <c r="H23" s="356">
        <v>0</v>
      </c>
      <c r="J23" s="320"/>
    </row>
    <row r="24" spans="1:10" ht="12.75">
      <c r="A24" s="916"/>
      <c r="B24" s="918" t="s">
        <v>946</v>
      </c>
      <c r="C24" s="919" t="s">
        <v>140</v>
      </c>
      <c r="D24" s="919"/>
      <c r="E24" s="919"/>
      <c r="F24" s="322" t="s">
        <v>1080</v>
      </c>
      <c r="G24" s="350" t="s">
        <v>67</v>
      </c>
      <c r="H24" s="356">
        <v>0</v>
      </c>
      <c r="J24" s="325"/>
    </row>
    <row r="25" spans="1:10" ht="12.75">
      <c r="A25" s="916"/>
      <c r="B25" s="918"/>
      <c r="C25" s="347" t="s">
        <v>946</v>
      </c>
      <c r="D25" s="919" t="s">
        <v>157</v>
      </c>
      <c r="E25" s="919"/>
      <c r="F25" s="322" t="s">
        <v>1082</v>
      </c>
      <c r="G25" s="350" t="s">
        <v>67</v>
      </c>
      <c r="H25" s="356">
        <v>0</v>
      </c>
      <c r="J25" s="325"/>
    </row>
    <row r="26" spans="1:8" ht="12.75">
      <c r="A26" s="916"/>
      <c r="B26" s="919" t="s">
        <v>1017</v>
      </c>
      <c r="C26" s="919" t="s">
        <v>215</v>
      </c>
      <c r="D26" s="919"/>
      <c r="E26" s="919"/>
      <c r="F26" s="322" t="s">
        <v>1081</v>
      </c>
      <c r="G26" s="350" t="s">
        <v>931</v>
      </c>
      <c r="H26" s="356">
        <v>0</v>
      </c>
    </row>
    <row r="27" spans="1:8" ht="25.5">
      <c r="A27" s="916"/>
      <c r="B27" s="919"/>
      <c r="C27" s="919" t="s">
        <v>979</v>
      </c>
      <c r="D27" s="919"/>
      <c r="E27" s="919"/>
      <c r="F27" s="322" t="s">
        <v>1083</v>
      </c>
      <c r="G27" s="350" t="s">
        <v>953</v>
      </c>
      <c r="H27" s="356">
        <v>0</v>
      </c>
    </row>
    <row r="28" spans="1:10" ht="12.75">
      <c r="A28" s="916"/>
      <c r="B28" s="919"/>
      <c r="C28" s="919" t="s">
        <v>949</v>
      </c>
      <c r="D28" s="919"/>
      <c r="E28" s="919"/>
      <c r="F28" s="322" t="s">
        <v>1084</v>
      </c>
      <c r="G28" s="350" t="s">
        <v>67</v>
      </c>
      <c r="H28" s="356">
        <v>0</v>
      </c>
      <c r="J28" s="320"/>
    </row>
    <row r="29" spans="1:10" ht="12.75">
      <c r="A29" s="916"/>
      <c r="B29" s="918" t="s">
        <v>946</v>
      </c>
      <c r="C29" s="919" t="s">
        <v>140</v>
      </c>
      <c r="D29" s="919"/>
      <c r="E29" s="919"/>
      <c r="F29" s="322" t="s">
        <v>1085</v>
      </c>
      <c r="G29" s="350" t="s">
        <v>67</v>
      </c>
      <c r="H29" s="356">
        <v>0</v>
      </c>
      <c r="J29" s="325"/>
    </row>
    <row r="30" spans="1:10" ht="12.75">
      <c r="A30" s="916"/>
      <c r="B30" s="918"/>
      <c r="C30" s="347" t="s">
        <v>946</v>
      </c>
      <c r="D30" s="919" t="s">
        <v>157</v>
      </c>
      <c r="E30" s="919"/>
      <c r="F30" s="322" t="s">
        <v>1088</v>
      </c>
      <c r="G30" s="350" t="s">
        <v>67</v>
      </c>
      <c r="H30" s="356">
        <v>0</v>
      </c>
      <c r="J30" s="325"/>
    </row>
    <row r="31" spans="1:8" ht="12.75">
      <c r="A31" s="916"/>
      <c r="B31" s="919" t="s">
        <v>1015</v>
      </c>
      <c r="C31" s="919" t="s">
        <v>215</v>
      </c>
      <c r="D31" s="919"/>
      <c r="E31" s="919"/>
      <c r="F31" s="322" t="s">
        <v>1086</v>
      </c>
      <c r="G31" s="350" t="s">
        <v>931</v>
      </c>
      <c r="H31" s="356">
        <v>0</v>
      </c>
    </row>
    <row r="32" spans="1:8" ht="25.5">
      <c r="A32" s="916"/>
      <c r="B32" s="919"/>
      <c r="C32" s="919" t="s">
        <v>979</v>
      </c>
      <c r="D32" s="919"/>
      <c r="E32" s="919"/>
      <c r="F32" s="322" t="s">
        <v>1087</v>
      </c>
      <c r="G32" s="350" t="s">
        <v>953</v>
      </c>
      <c r="H32" s="356">
        <v>0</v>
      </c>
    </row>
    <row r="33" spans="1:10" ht="12.75">
      <c r="A33" s="916"/>
      <c r="B33" s="919"/>
      <c r="C33" s="919" t="s">
        <v>949</v>
      </c>
      <c r="D33" s="919"/>
      <c r="E33" s="919"/>
      <c r="F33" s="322" t="s">
        <v>1089</v>
      </c>
      <c r="G33" s="350" t="s">
        <v>67</v>
      </c>
      <c r="H33" s="356">
        <v>0</v>
      </c>
      <c r="J33" s="320"/>
    </row>
    <row r="34" spans="1:10" ht="12.75">
      <c r="A34" s="916"/>
      <c r="B34" s="918" t="s">
        <v>946</v>
      </c>
      <c r="C34" s="919" t="s">
        <v>140</v>
      </c>
      <c r="D34" s="919"/>
      <c r="E34" s="919"/>
      <c r="F34" s="322" t="s">
        <v>1090</v>
      </c>
      <c r="G34" s="350" t="s">
        <v>67</v>
      </c>
      <c r="H34" s="356">
        <v>0</v>
      </c>
      <c r="J34" s="325"/>
    </row>
    <row r="35" spans="1:10" ht="13.5" customHeight="1" thickBot="1">
      <c r="A35" s="917"/>
      <c r="B35" s="920"/>
      <c r="C35" s="358" t="s">
        <v>946</v>
      </c>
      <c r="D35" s="921" t="s">
        <v>157</v>
      </c>
      <c r="E35" s="921"/>
      <c r="F35" s="352" t="s">
        <v>1093</v>
      </c>
      <c r="G35" s="351" t="s">
        <v>67</v>
      </c>
      <c r="H35" s="359">
        <v>0</v>
      </c>
      <c r="J35" s="325"/>
    </row>
    <row r="36" spans="1:9" ht="12.75">
      <c r="A36" s="924" t="s">
        <v>1056</v>
      </c>
      <c r="B36" s="926" t="s">
        <v>215</v>
      </c>
      <c r="C36" s="926"/>
      <c r="D36" s="926"/>
      <c r="E36" s="926"/>
      <c r="F36" s="353" t="s">
        <v>1091</v>
      </c>
      <c r="G36" s="346" t="s">
        <v>931</v>
      </c>
      <c r="H36" s="354">
        <f>H37+H38</f>
        <v>0</v>
      </c>
      <c r="I36" s="317" t="str">
        <f>IF(H36=H37+H38,"OK","Pārbaudiet naudā un natūrā izmaksātos pabalstus daudzbērnu ģimenēm")</f>
        <v>OK</v>
      </c>
    </row>
    <row r="37" spans="1:8" ht="12.75">
      <c r="A37" s="927"/>
      <c r="B37" s="919" t="s">
        <v>74</v>
      </c>
      <c r="C37" s="919" t="s">
        <v>216</v>
      </c>
      <c r="D37" s="919"/>
      <c r="E37" s="919"/>
      <c r="F37" s="322" t="s">
        <v>1096</v>
      </c>
      <c r="G37" s="349" t="s">
        <v>931</v>
      </c>
      <c r="H37" s="355">
        <v>0</v>
      </c>
    </row>
    <row r="38" spans="1:8" ht="12.75">
      <c r="A38" s="927"/>
      <c r="B38" s="919"/>
      <c r="C38" s="919" t="s">
        <v>217</v>
      </c>
      <c r="D38" s="919"/>
      <c r="E38" s="919"/>
      <c r="F38" s="322" t="s">
        <v>1097</v>
      </c>
      <c r="G38" s="349" t="s">
        <v>931</v>
      </c>
      <c r="H38" s="355">
        <v>0</v>
      </c>
    </row>
    <row r="39" spans="1:8" ht="25.5">
      <c r="A39" s="927"/>
      <c r="B39" s="919" t="s">
        <v>979</v>
      </c>
      <c r="C39" s="919"/>
      <c r="D39" s="919"/>
      <c r="E39" s="919"/>
      <c r="F39" s="322" t="s">
        <v>1092</v>
      </c>
      <c r="G39" s="350" t="s">
        <v>953</v>
      </c>
      <c r="H39" s="356">
        <v>0</v>
      </c>
    </row>
    <row r="40" spans="1:9" ht="12.75">
      <c r="A40" s="927"/>
      <c r="B40" s="919" t="s">
        <v>949</v>
      </c>
      <c r="C40" s="919"/>
      <c r="D40" s="919"/>
      <c r="E40" s="919"/>
      <c r="F40" s="322" t="s">
        <v>1094</v>
      </c>
      <c r="G40" s="350" t="s">
        <v>67</v>
      </c>
      <c r="H40" s="357">
        <f>H45+H47+H52+H53</f>
        <v>0</v>
      </c>
      <c r="I40" s="317" t="str">
        <f>IF(H40=H41+H42+H43+H44,"OK","Pārbaudiet saņēmēju skaita sadalījumu pa vecumiem un dzimumiem")</f>
        <v>OK</v>
      </c>
    </row>
    <row r="41" spans="1:8" ht="12.75">
      <c r="A41" s="927"/>
      <c r="B41" s="548" t="s">
        <v>105</v>
      </c>
      <c r="C41" s="548" t="s">
        <v>140</v>
      </c>
      <c r="D41" s="919" t="s">
        <v>218</v>
      </c>
      <c r="E41" s="919"/>
      <c r="F41" s="322" t="s">
        <v>1098</v>
      </c>
      <c r="G41" s="350" t="s">
        <v>67</v>
      </c>
      <c r="H41" s="356">
        <v>0</v>
      </c>
    </row>
    <row r="42" spans="1:8" ht="12.75">
      <c r="A42" s="927"/>
      <c r="B42" s="548"/>
      <c r="C42" s="548"/>
      <c r="D42" s="919" t="s">
        <v>143</v>
      </c>
      <c r="E42" s="919"/>
      <c r="F42" s="322" t="s">
        <v>1099</v>
      </c>
      <c r="G42" s="350" t="s">
        <v>67</v>
      </c>
      <c r="H42" s="356">
        <v>0</v>
      </c>
    </row>
    <row r="43" spans="1:9" ht="12.75">
      <c r="A43" s="927"/>
      <c r="B43" s="548"/>
      <c r="C43" s="919" t="s">
        <v>141</v>
      </c>
      <c r="D43" s="919" t="s">
        <v>218</v>
      </c>
      <c r="E43" s="919"/>
      <c r="F43" s="322" t="s">
        <v>1100</v>
      </c>
      <c r="G43" s="350" t="s">
        <v>67</v>
      </c>
      <c r="H43" s="356">
        <v>0</v>
      </c>
      <c r="I43" s="317" t="str">
        <f>IF(H43+H44=H47+H52+H53,"OK","Pārbaudiet pilngadīgu personu skaita sadalījumu!")</f>
        <v>OK</v>
      </c>
    </row>
    <row r="44" spans="1:8" ht="12.75">
      <c r="A44" s="927"/>
      <c r="B44" s="548"/>
      <c r="C44" s="919"/>
      <c r="D44" s="919" t="s">
        <v>143</v>
      </c>
      <c r="E44" s="919"/>
      <c r="F44" s="322" t="s">
        <v>1101</v>
      </c>
      <c r="G44" s="350" t="s">
        <v>67</v>
      </c>
      <c r="H44" s="356">
        <v>0</v>
      </c>
    </row>
    <row r="45" spans="1:9" ht="12.75">
      <c r="A45" s="927"/>
      <c r="B45" s="548" t="s">
        <v>105</v>
      </c>
      <c r="C45" s="919" t="s">
        <v>140</v>
      </c>
      <c r="D45" s="919"/>
      <c r="E45" s="919"/>
      <c r="F45" s="322" t="s">
        <v>1095</v>
      </c>
      <c r="G45" s="350" t="s">
        <v>67</v>
      </c>
      <c r="H45" s="356">
        <v>0</v>
      </c>
      <c r="I45" s="317" t="str">
        <f>IF(H45=H41+H42,"OK","Pārbaudiet klientu sadalījumu pa dzimumiem!")</f>
        <v>OK</v>
      </c>
    </row>
    <row r="46" spans="1:9" ht="12.75">
      <c r="A46" s="927"/>
      <c r="B46" s="548"/>
      <c r="C46" s="919" t="s">
        <v>219</v>
      </c>
      <c r="D46" s="919"/>
      <c r="E46" s="919"/>
      <c r="F46" s="322" t="s">
        <v>1102</v>
      </c>
      <c r="G46" s="350" t="s">
        <v>67</v>
      </c>
      <c r="H46" s="356">
        <v>0</v>
      </c>
      <c r="I46" s="317" t="str">
        <f>IF(H46&lt;=H45,"OK","Bērnu ar invaliditāti skaits pārsniedz kopējo bērnu skaitu!")</f>
        <v>OK</v>
      </c>
    </row>
    <row r="47" spans="1:8" ht="12.75">
      <c r="A47" s="927"/>
      <c r="B47" s="548"/>
      <c r="C47" s="919" t="s">
        <v>220</v>
      </c>
      <c r="D47" s="919"/>
      <c r="E47" s="919"/>
      <c r="F47" s="322" t="s">
        <v>1103</v>
      </c>
      <c r="G47" s="350" t="s">
        <v>67</v>
      </c>
      <c r="H47" s="357">
        <f>H48+H49+H50</f>
        <v>0</v>
      </c>
    </row>
    <row r="48" spans="1:8" ht="12.75">
      <c r="A48" s="927"/>
      <c r="B48" s="548"/>
      <c r="C48" s="548" t="s">
        <v>105</v>
      </c>
      <c r="D48" s="919" t="s">
        <v>221</v>
      </c>
      <c r="E48" s="919"/>
      <c r="F48" s="322" t="s">
        <v>1104</v>
      </c>
      <c r="G48" s="350" t="s">
        <v>67</v>
      </c>
      <c r="H48" s="356">
        <v>0</v>
      </c>
    </row>
    <row r="49" spans="1:8" ht="12.75">
      <c r="A49" s="927"/>
      <c r="B49" s="548"/>
      <c r="C49" s="548"/>
      <c r="D49" s="919" t="s">
        <v>222</v>
      </c>
      <c r="E49" s="919"/>
      <c r="F49" s="322" t="s">
        <v>1105</v>
      </c>
      <c r="G49" s="350" t="s">
        <v>67</v>
      </c>
      <c r="H49" s="356">
        <v>0</v>
      </c>
    </row>
    <row r="50" spans="1:8" ht="12.75">
      <c r="A50" s="927"/>
      <c r="B50" s="548"/>
      <c r="C50" s="548"/>
      <c r="D50" s="919" t="s">
        <v>223</v>
      </c>
      <c r="E50" s="919"/>
      <c r="F50" s="322" t="s">
        <v>1106</v>
      </c>
      <c r="G50" s="350" t="s">
        <v>67</v>
      </c>
      <c r="H50" s="356">
        <v>0</v>
      </c>
    </row>
    <row r="51" spans="1:9" ht="21.75" customHeight="1">
      <c r="A51" s="927"/>
      <c r="B51" s="548"/>
      <c r="C51" s="919" t="s">
        <v>848</v>
      </c>
      <c r="D51" s="919"/>
      <c r="E51" s="919"/>
      <c r="F51" s="322" t="s">
        <v>1107</v>
      </c>
      <c r="G51" s="350" t="s">
        <v>67</v>
      </c>
      <c r="H51" s="356">
        <v>0</v>
      </c>
      <c r="I51" s="317" t="str">
        <f>IF(H51&lt;=H47,"OK","Personu skaits, kuras veic darba praktizēšanu pašvaldībās ar stipendiju, ir lielāks kā pilngadīgu darbspējīgu personu skaits!")</f>
        <v>OK</v>
      </c>
    </row>
    <row r="52" spans="1:8" ht="12.75">
      <c r="A52" s="927"/>
      <c r="B52" s="548"/>
      <c r="C52" s="919" t="s">
        <v>158</v>
      </c>
      <c r="D52" s="919"/>
      <c r="E52" s="919"/>
      <c r="F52" s="322" t="s">
        <v>1108</v>
      </c>
      <c r="G52" s="350" t="s">
        <v>67</v>
      </c>
      <c r="H52" s="356">
        <v>0</v>
      </c>
    </row>
    <row r="53" spans="1:8" ht="13.5" thickBot="1">
      <c r="A53" s="928"/>
      <c r="B53" s="929"/>
      <c r="C53" s="921" t="s">
        <v>160</v>
      </c>
      <c r="D53" s="921"/>
      <c r="E53" s="921"/>
      <c r="F53" s="352" t="s">
        <v>1109</v>
      </c>
      <c r="G53" s="351" t="s">
        <v>67</v>
      </c>
      <c r="H53" s="359">
        <v>0</v>
      </c>
    </row>
  </sheetData>
  <sheetProtection password="CE88" sheet="1" objects="1" scenarios="1"/>
  <mergeCells count="73">
    <mergeCell ref="C53:E53"/>
    <mergeCell ref="B45:B53"/>
    <mergeCell ref="C45:E45"/>
    <mergeCell ref="C46:E46"/>
    <mergeCell ref="C47:E47"/>
    <mergeCell ref="C48:C50"/>
    <mergeCell ref="D48:E48"/>
    <mergeCell ref="D49:E49"/>
    <mergeCell ref="D50:E50"/>
    <mergeCell ref="C51:E51"/>
    <mergeCell ref="C52:E52"/>
    <mergeCell ref="B40:E40"/>
    <mergeCell ref="B41:B44"/>
    <mergeCell ref="C41:C42"/>
    <mergeCell ref="D41:E41"/>
    <mergeCell ref="D42:E42"/>
    <mergeCell ref="C43:C44"/>
    <mergeCell ref="D43:E43"/>
    <mergeCell ref="D44:E44"/>
    <mergeCell ref="B31:B33"/>
    <mergeCell ref="C31:E31"/>
    <mergeCell ref="C32:E32"/>
    <mergeCell ref="C33:E33"/>
    <mergeCell ref="A36:A53"/>
    <mergeCell ref="B36:E36"/>
    <mergeCell ref="B37:B38"/>
    <mergeCell ref="C37:E37"/>
    <mergeCell ref="C38:E38"/>
    <mergeCell ref="B39:E39"/>
    <mergeCell ref="B21:B23"/>
    <mergeCell ref="C21:E21"/>
    <mergeCell ref="C22:E22"/>
    <mergeCell ref="C23:E23"/>
    <mergeCell ref="B26:B28"/>
    <mergeCell ref="C26:E26"/>
    <mergeCell ref="C27:E27"/>
    <mergeCell ref="C28:E28"/>
    <mergeCell ref="D15:E15"/>
    <mergeCell ref="D16:E16"/>
    <mergeCell ref="D17:E17"/>
    <mergeCell ref="C18:E18"/>
    <mergeCell ref="C19:E19"/>
    <mergeCell ref="C20:E20"/>
    <mergeCell ref="D8:E8"/>
    <mergeCell ref="D9:E9"/>
    <mergeCell ref="C10:C11"/>
    <mergeCell ref="D10:E10"/>
    <mergeCell ref="D11:E11"/>
    <mergeCell ref="B12:B20"/>
    <mergeCell ref="C12:E12"/>
    <mergeCell ref="C13:E13"/>
    <mergeCell ref="C14:E14"/>
    <mergeCell ref="C15:C17"/>
    <mergeCell ref="A2:E2"/>
    <mergeCell ref="A3:A20"/>
    <mergeCell ref="B3:E3"/>
    <mergeCell ref="B4:B5"/>
    <mergeCell ref="C4:E4"/>
    <mergeCell ref="C5:E5"/>
    <mergeCell ref="B6:E6"/>
    <mergeCell ref="B7:E7"/>
    <mergeCell ref="B8:B11"/>
    <mergeCell ref="C8:C9"/>
    <mergeCell ref="A21:A35"/>
    <mergeCell ref="B24:B25"/>
    <mergeCell ref="C24:E24"/>
    <mergeCell ref="D25:E25"/>
    <mergeCell ref="B29:B30"/>
    <mergeCell ref="C29:E29"/>
    <mergeCell ref="D30:E30"/>
    <mergeCell ref="B34:B35"/>
    <mergeCell ref="C34:E34"/>
    <mergeCell ref="D35:E35"/>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M31"/>
  <sheetViews>
    <sheetView zoomScalePageLayoutView="0" workbookViewId="0" topLeftCell="A1">
      <selection activeCell="F15" sqref="F15"/>
    </sheetView>
  </sheetViews>
  <sheetFormatPr defaultColWidth="9.140625" defaultRowHeight="12.75"/>
  <cols>
    <col min="1" max="1" width="9.140625" style="307" customWidth="1"/>
    <col min="2" max="2" width="35.8515625" style="307" customWidth="1"/>
    <col min="3" max="3" width="10.8515625" style="316" customWidth="1"/>
    <col min="4" max="4" width="11.8515625" style="307" customWidth="1"/>
    <col min="5" max="5" width="18.421875" style="307" customWidth="1"/>
    <col min="6" max="6" width="9.140625" style="307" customWidth="1"/>
    <col min="7" max="16384" width="9.140625" style="307" customWidth="1"/>
  </cols>
  <sheetData>
    <row r="1" ht="21.75" customHeight="1" thickBot="1">
      <c r="A1" s="326" t="s">
        <v>1077</v>
      </c>
    </row>
    <row r="2" spans="1:5" ht="15" thickBot="1">
      <c r="A2" s="930" t="s">
        <v>124</v>
      </c>
      <c r="B2" s="931"/>
      <c r="C2" s="327" t="s">
        <v>60</v>
      </c>
      <c r="D2" s="328" t="s">
        <v>61</v>
      </c>
      <c r="E2" s="329" t="s">
        <v>62</v>
      </c>
    </row>
    <row r="3" spans="1:7" ht="27.75" customHeight="1">
      <c r="A3" s="932" t="s">
        <v>935</v>
      </c>
      <c r="B3" s="788"/>
      <c r="C3" s="313">
        <v>61</v>
      </c>
      <c r="D3" s="314" t="s">
        <v>931</v>
      </c>
      <c r="E3" s="315">
        <f>E4+E7+E8+E5+E6</f>
        <v>1657660.98</v>
      </c>
      <c r="G3" s="307" t="str">
        <f>IF(E4=3!G3,IF(6!E3=E4+6!E7+6!E8+E5+E6,IF(E7=2!H11+2!I11+2!K11+2!L11+2!J11,IF(E11=2!G11,"OK","Pārbaudi tabulā 2 G11 un tabulā 6 E11"),"Pārbaudi tabulā 2 H11, I11, J11, K11, L11 un 6 tabulā E7"),"Pārbaudi tabulā 6 E4,E5,E6, E7, E8"),"Pārbaudi tabulā 3. G3 un tabulā 6 E4")</f>
        <v>OK</v>
      </c>
    </row>
    <row r="4" spans="1:7" ht="12.75">
      <c r="A4" s="838" t="s">
        <v>122</v>
      </c>
      <c r="B4" s="296" t="s">
        <v>247</v>
      </c>
      <c r="C4" s="224">
        <v>611</v>
      </c>
      <c r="D4" s="277" t="s">
        <v>931</v>
      </c>
      <c r="E4" s="226">
        <f>3!G3</f>
        <v>323305.13</v>
      </c>
      <c r="G4" s="342"/>
    </row>
    <row r="5" spans="1:7" ht="38.25">
      <c r="A5" s="785"/>
      <c r="B5" s="225" t="s">
        <v>1058</v>
      </c>
      <c r="C5" s="224" t="s">
        <v>1078</v>
      </c>
      <c r="D5" s="277" t="s">
        <v>931</v>
      </c>
      <c r="E5" s="295">
        <f>4!H4</f>
        <v>211654.68</v>
      </c>
      <c r="G5" s="342"/>
    </row>
    <row r="6" spans="1:7" ht="25.5">
      <c r="A6" s="785"/>
      <c r="B6" s="225" t="s">
        <v>1059</v>
      </c>
      <c r="C6" s="224">
        <v>615</v>
      </c>
      <c r="D6" s="277" t="s">
        <v>931</v>
      </c>
      <c r="E6" s="295">
        <f>5!H3+5!H36</f>
        <v>0</v>
      </c>
      <c r="G6" s="342"/>
    </row>
    <row r="7" spans="1:7" ht="25.5">
      <c r="A7" s="785"/>
      <c r="B7" s="225" t="s">
        <v>847</v>
      </c>
      <c r="C7" s="224">
        <v>612</v>
      </c>
      <c r="D7" s="277" t="s">
        <v>931</v>
      </c>
      <c r="E7" s="226">
        <f>2!H11+2!I11+2!J11+2!K11+2!L11</f>
        <v>917941.12</v>
      </c>
      <c r="G7" s="342"/>
    </row>
    <row r="8" spans="1:5" ht="25.5">
      <c r="A8" s="934"/>
      <c r="B8" s="225" t="s">
        <v>248</v>
      </c>
      <c r="C8" s="224">
        <v>613</v>
      </c>
      <c r="D8" s="277" t="s">
        <v>931</v>
      </c>
      <c r="E8" s="267">
        <v>204760.05</v>
      </c>
    </row>
    <row r="9" spans="1:7" ht="15.75" customHeight="1">
      <c r="A9" s="835" t="s">
        <v>807</v>
      </c>
      <c r="B9" s="535"/>
      <c r="C9" s="224">
        <v>62</v>
      </c>
      <c r="D9" s="277" t="s">
        <v>931</v>
      </c>
      <c r="E9" s="267">
        <v>3045244</v>
      </c>
      <c r="G9" s="307" t="str">
        <f>IF(E9+'1.1'!G6=0,"OK",IF((E9/'1.1'!G6)/12&lt;=250,"Pārbaudi vai nauda E9 ir ievadīta pareizi","OK"))</f>
        <v>OK</v>
      </c>
    </row>
    <row r="10" spans="1:7" ht="15.75" customHeight="1">
      <c r="A10" s="938" t="s">
        <v>1298</v>
      </c>
      <c r="B10" s="939"/>
      <c r="C10" s="330">
        <v>621</v>
      </c>
      <c r="D10" s="277" t="s">
        <v>931</v>
      </c>
      <c r="E10" s="258">
        <v>1073970.5</v>
      </c>
      <c r="G10" s="325"/>
    </row>
    <row r="11" spans="1:13" ht="24.75" customHeight="1" thickBot="1">
      <c r="A11" s="933" t="s">
        <v>249</v>
      </c>
      <c r="B11" s="543"/>
      <c r="C11" s="331">
        <v>63</v>
      </c>
      <c r="D11" s="332" t="s">
        <v>931</v>
      </c>
      <c r="E11" s="333">
        <f>2!G11</f>
        <v>656463.5700000001</v>
      </c>
      <c r="G11" s="318"/>
      <c r="H11" s="336"/>
      <c r="I11" s="336"/>
      <c r="J11" s="336"/>
      <c r="K11" s="336"/>
      <c r="L11" s="336"/>
      <c r="M11" s="336"/>
    </row>
    <row r="12" spans="8:13" ht="12.75" customHeight="1">
      <c r="H12" s="336"/>
      <c r="I12" s="336"/>
      <c r="J12" s="336"/>
      <c r="K12" s="336"/>
      <c r="L12" s="336"/>
      <c r="M12" s="336"/>
    </row>
    <row r="13" spans="1:13" ht="13.5" customHeight="1">
      <c r="A13" s="334"/>
      <c r="B13" s="334"/>
      <c r="C13" s="335"/>
      <c r="D13" s="334"/>
      <c r="E13" s="334"/>
      <c r="F13" s="334"/>
      <c r="G13" s="334"/>
      <c r="H13" s="337"/>
      <c r="I13" s="336"/>
      <c r="J13" s="336"/>
      <c r="K13" s="336"/>
      <c r="L13" s="336"/>
      <c r="M13" s="336"/>
    </row>
    <row r="14" spans="1:8" s="336" customFormat="1" ht="12.75">
      <c r="A14" s="942" t="s">
        <v>1333</v>
      </c>
      <c r="B14" s="937"/>
      <c r="C14" s="937"/>
      <c r="D14" s="937"/>
      <c r="E14" s="937"/>
      <c r="F14" s="337"/>
      <c r="G14" s="337"/>
      <c r="H14" s="337"/>
    </row>
    <row r="15" spans="1:8" s="336" customFormat="1" ht="12.75">
      <c r="A15" s="337"/>
      <c r="B15" s="338" t="s">
        <v>250</v>
      </c>
      <c r="C15" s="935" t="s">
        <v>251</v>
      </c>
      <c r="D15" s="935"/>
      <c r="E15" s="339" t="s">
        <v>252</v>
      </c>
      <c r="F15" s="337"/>
      <c r="G15" s="337"/>
      <c r="H15" s="337"/>
    </row>
    <row r="16" spans="1:8" s="336" customFormat="1" ht="12.75">
      <c r="A16" s="337"/>
      <c r="B16" s="337"/>
      <c r="C16" s="340"/>
      <c r="D16" s="337"/>
      <c r="E16" s="337"/>
      <c r="F16" s="337"/>
      <c r="G16" s="337"/>
      <c r="H16" s="337"/>
    </row>
    <row r="17" spans="1:8" s="336" customFormat="1" ht="12.75">
      <c r="A17" s="341" t="s">
        <v>253</v>
      </c>
      <c r="B17" s="337"/>
      <c r="C17" s="340"/>
      <c r="D17" s="337"/>
      <c r="E17" s="337"/>
      <c r="F17" s="337"/>
      <c r="G17" s="337"/>
      <c r="H17" s="337"/>
    </row>
    <row r="18" spans="1:8" s="336" customFormat="1" ht="12.75">
      <c r="A18" s="337" t="s">
        <v>258</v>
      </c>
      <c r="B18" s="337">
        <v>27704185</v>
      </c>
      <c r="C18" s="340"/>
      <c r="D18" s="337"/>
      <c r="E18" s="337"/>
      <c r="F18" s="337"/>
      <c r="G18" s="337"/>
      <c r="H18" s="337"/>
    </row>
    <row r="19" spans="1:8" s="336" customFormat="1" ht="12.75">
      <c r="A19" s="337" t="s">
        <v>259</v>
      </c>
      <c r="B19" s="937" t="s">
        <v>1334</v>
      </c>
      <c r="C19" s="937"/>
      <c r="D19" s="937"/>
      <c r="E19" s="337"/>
      <c r="F19" s="337"/>
      <c r="G19" s="337"/>
      <c r="H19" s="337"/>
    </row>
    <row r="20" spans="1:8" s="336" customFormat="1" ht="12.75">
      <c r="A20" s="337"/>
      <c r="B20" s="337"/>
      <c r="C20" s="340"/>
      <c r="D20" s="337"/>
      <c r="E20" s="337"/>
      <c r="F20" s="337"/>
      <c r="G20" s="337"/>
      <c r="H20" s="337"/>
    </row>
    <row r="21" spans="1:8" s="336" customFormat="1" ht="12.75">
      <c r="A21" s="937" t="s">
        <v>1335</v>
      </c>
      <c r="B21" s="937"/>
      <c r="C21" s="937"/>
      <c r="D21" s="937"/>
      <c r="E21" s="937"/>
      <c r="F21" s="337"/>
      <c r="G21" s="337"/>
      <c r="H21" s="337"/>
    </row>
    <row r="22" spans="1:8" s="336" customFormat="1" ht="12.75">
      <c r="A22" s="337"/>
      <c r="B22" s="935" t="s">
        <v>251</v>
      </c>
      <c r="C22" s="935"/>
      <c r="D22" s="337"/>
      <c r="E22" s="339" t="s">
        <v>252</v>
      </c>
      <c r="F22" s="337"/>
      <c r="G22" s="337"/>
      <c r="H22" s="337"/>
    </row>
    <row r="23" spans="1:8" s="336" customFormat="1" ht="12.75">
      <c r="A23" s="337" t="s">
        <v>254</v>
      </c>
      <c r="B23" s="337" t="s">
        <v>255</v>
      </c>
      <c r="C23" s="340"/>
      <c r="D23" s="337"/>
      <c r="E23" s="337"/>
      <c r="F23" s="337"/>
      <c r="G23" s="337"/>
      <c r="H23" s="337"/>
    </row>
    <row r="24" spans="1:8" s="336" customFormat="1" ht="12.75">
      <c r="A24" s="337"/>
      <c r="B24" s="337"/>
      <c r="C24" s="340"/>
      <c r="D24" s="337"/>
      <c r="E24" s="337"/>
      <c r="F24" s="337"/>
      <c r="G24" s="337"/>
      <c r="H24" s="337"/>
    </row>
    <row r="25" spans="1:8" s="336" customFormat="1" ht="12.75">
      <c r="A25" s="337" t="s">
        <v>256</v>
      </c>
      <c r="B25" s="337"/>
      <c r="C25" s="340"/>
      <c r="D25" s="337"/>
      <c r="E25" s="337"/>
      <c r="F25" s="337"/>
      <c r="G25" s="337"/>
      <c r="H25" s="337"/>
    </row>
    <row r="26" spans="1:8" s="336" customFormat="1" ht="12.75">
      <c r="A26" s="337"/>
      <c r="B26" s="337"/>
      <c r="C26" s="340"/>
      <c r="D26" s="337"/>
      <c r="E26" s="337"/>
      <c r="F26" s="337"/>
      <c r="G26" s="337"/>
      <c r="H26" s="337"/>
    </row>
    <row r="27" spans="1:8" s="336" customFormat="1" ht="12.75">
      <c r="A27" s="937" t="s">
        <v>257</v>
      </c>
      <c r="B27" s="937"/>
      <c r="C27" s="937"/>
      <c r="D27" s="937"/>
      <c r="E27" s="937"/>
      <c r="F27" s="337"/>
      <c r="G27" s="337"/>
      <c r="H27" s="337"/>
    </row>
    <row r="28" spans="1:8" s="336" customFormat="1" ht="12.75">
      <c r="A28" s="337"/>
      <c r="B28" s="935" t="s">
        <v>251</v>
      </c>
      <c r="C28" s="935"/>
      <c r="D28" s="936"/>
      <c r="E28" s="339" t="s">
        <v>252</v>
      </c>
      <c r="F28" s="337"/>
      <c r="G28" s="337"/>
      <c r="H28" s="337"/>
    </row>
    <row r="29" spans="1:8" s="336" customFormat="1" ht="12.75">
      <c r="A29" s="337" t="s">
        <v>254</v>
      </c>
      <c r="B29" s="337" t="s">
        <v>255</v>
      </c>
      <c r="C29" s="340"/>
      <c r="D29" s="337"/>
      <c r="E29" s="337"/>
      <c r="F29" s="337"/>
      <c r="G29" s="337"/>
      <c r="H29" s="337"/>
    </row>
    <row r="30" spans="1:8" ht="12.75">
      <c r="A30" s="334"/>
      <c r="B30" s="334"/>
      <c r="C30" s="335"/>
      <c r="D30" s="334"/>
      <c r="E30" s="334"/>
      <c r="F30" s="334"/>
      <c r="G30" s="334"/>
      <c r="H30" s="334"/>
    </row>
    <row r="31" spans="1:8" ht="37.5" customHeight="1">
      <c r="A31" s="940" t="s">
        <v>260</v>
      </c>
      <c r="B31" s="941"/>
      <c r="C31" s="941"/>
      <c r="D31" s="941"/>
      <c r="E31" s="941"/>
      <c r="F31" s="334"/>
      <c r="G31" s="334"/>
      <c r="H31" s="334"/>
    </row>
  </sheetData>
  <sheetProtection password="CE88" sheet="1" objects="1" scenarios="1"/>
  <mergeCells count="14">
    <mergeCell ref="A31:E31"/>
    <mergeCell ref="A14:E14"/>
    <mergeCell ref="C15:D15"/>
    <mergeCell ref="A21:E21"/>
    <mergeCell ref="A27:E27"/>
    <mergeCell ref="B22:C22"/>
    <mergeCell ref="A2:B2"/>
    <mergeCell ref="A3:B3"/>
    <mergeCell ref="A9:B9"/>
    <mergeCell ref="A11:B11"/>
    <mergeCell ref="A4:A8"/>
    <mergeCell ref="B28:D28"/>
    <mergeCell ref="B19:D19"/>
    <mergeCell ref="A10:B10"/>
  </mergeCells>
  <printOptions/>
  <pageMargins left="0.75" right="0.75" top="0.54" bottom="0.52" header="0.37" footer="0.32"/>
  <pageSetup horizontalDpi="1200" verticalDpi="1200" orientation="portrait" paperSize="9" r:id="rId1"/>
  <headerFooter alignWithMargins="0">
    <oddFooter>&amp;R31</oddFooter>
  </headerFooter>
</worksheet>
</file>

<file path=xl/worksheets/sheet3.xml><?xml version="1.0" encoding="utf-8"?>
<worksheet xmlns="http://schemas.openxmlformats.org/spreadsheetml/2006/main" xmlns:r="http://schemas.openxmlformats.org/officeDocument/2006/relationships">
  <dimension ref="A1:Q23"/>
  <sheetViews>
    <sheetView zoomScalePageLayoutView="0" workbookViewId="0" topLeftCell="A1">
      <selection activeCell="H9" sqref="H8:H9"/>
    </sheetView>
  </sheetViews>
  <sheetFormatPr defaultColWidth="9.140625" defaultRowHeight="12.75"/>
  <cols>
    <col min="1" max="1" width="14.140625" style="180" customWidth="1"/>
    <col min="2" max="2" width="9.7109375" style="180" customWidth="1"/>
    <col min="3" max="3" width="10.8515625" style="180" customWidth="1"/>
    <col min="4" max="4" width="31.8515625" style="180" customWidth="1"/>
    <col min="5" max="5" width="13.8515625" style="181" customWidth="1"/>
    <col min="6" max="6" width="12.00390625" style="180" customWidth="1"/>
    <col min="7" max="7" width="12.28125" style="182" customWidth="1"/>
    <col min="8" max="16384" width="9.140625" style="148" customWidth="1"/>
  </cols>
  <sheetData>
    <row r="1" spans="1:7" ht="32.25" customHeight="1">
      <c r="A1" s="441" t="s">
        <v>87</v>
      </c>
      <c r="B1" s="441"/>
      <c r="C1" s="442"/>
      <c r="D1" s="442"/>
      <c r="E1" s="442"/>
      <c r="F1" s="442"/>
      <c r="G1" s="442"/>
    </row>
    <row r="2" spans="1:7" ht="33.75" customHeight="1" thickBot="1">
      <c r="A2" s="443" t="s">
        <v>59</v>
      </c>
      <c r="B2" s="443"/>
      <c r="C2" s="444"/>
      <c r="D2" s="444"/>
      <c r="E2" s="444"/>
      <c r="F2" s="444"/>
      <c r="G2" s="444"/>
    </row>
    <row r="3" spans="1:11" s="177" customFormat="1" ht="27.75" customHeight="1" thickBot="1">
      <c r="A3" s="445" t="s">
        <v>63</v>
      </c>
      <c r="B3" s="446"/>
      <c r="C3" s="447"/>
      <c r="D3" s="447"/>
      <c r="E3" s="149" t="s">
        <v>60</v>
      </c>
      <c r="F3" s="135" t="s">
        <v>61</v>
      </c>
      <c r="G3" s="150" t="s">
        <v>62</v>
      </c>
      <c r="K3" s="177" t="str">
        <f>IF(G6+2!G9-'1.1'!G7='1.1'!G4,IF(G5=G8+2!G10-2!N23,IF(G6=G8+G20,IF(G7=G9+G21,IF(2!N22&lt;=2!G9,IF(2!N23&lt;=2!G10,"OK","Pārbaudi Lapā 2 G10 un 20121c"),"Pārbaudi Lapā 2 G9 un 2012c"),"Pārbaudi tablā 1.1 G7, G9, G21"),"Pārbaudi tabulā 1.1 G6, G8, G20"),"Pārbaudi tabulā 1.1 G5, G8, tabulā 2 G10"),"Pārbaudi tabulā 1.1 G4, G6, G7, tabulā 2 G9")</f>
        <v>OK</v>
      </c>
    </row>
    <row r="4" spans="1:9" s="158" customFormat="1" ht="15" customHeight="1">
      <c r="A4" s="448" t="s">
        <v>64</v>
      </c>
      <c r="B4" s="450" t="s">
        <v>65</v>
      </c>
      <c r="C4" s="451"/>
      <c r="D4" s="452"/>
      <c r="E4" s="152" t="s">
        <v>267</v>
      </c>
      <c r="F4" s="151" t="s">
        <v>67</v>
      </c>
      <c r="G4" s="136">
        <v>104</v>
      </c>
      <c r="H4" s="179" t="str">
        <f>IF(G5&lt;=G4,"OK","Sociālā darba speciālistu skaits institūcijās, kuras sniedz sociālos pakalpojumus, pārsniedz kopējo darbinieku skaitu!")</f>
        <v>OK</v>
      </c>
      <c r="I4" s="155"/>
    </row>
    <row r="5" spans="1:17" s="158" customFormat="1" ht="63" customHeight="1">
      <c r="A5" s="449"/>
      <c r="B5" s="453" t="s">
        <v>66</v>
      </c>
      <c r="C5" s="440"/>
      <c r="D5" s="433"/>
      <c r="E5" s="224" t="s">
        <v>266</v>
      </c>
      <c r="F5" s="225" t="s">
        <v>67</v>
      </c>
      <c r="G5" s="137">
        <v>51</v>
      </c>
      <c r="H5" s="179"/>
      <c r="I5" s="230" t="str">
        <f>IF(G5&gt;=G8,"OK","Pārbaudi "&amp;B5&amp;" un "&amp;B8&amp;" "&amp;C8)</f>
        <v>OK</v>
      </c>
      <c r="O5" s="233"/>
      <c r="P5" s="233" t="b">
        <f>G6+2!G9-'1.1'!G7='1.1'!G4</f>
        <v>1</v>
      </c>
      <c r="Q5" s="233"/>
    </row>
    <row r="6" spans="1:17" s="158" customFormat="1" ht="12.75" customHeight="1">
      <c r="A6" s="438" t="s">
        <v>68</v>
      </c>
      <c r="B6" s="422" t="s">
        <v>65</v>
      </c>
      <c r="C6" s="423"/>
      <c r="D6" s="424"/>
      <c r="E6" s="159" t="s">
        <v>722</v>
      </c>
      <c r="F6" s="156" t="s">
        <v>67</v>
      </c>
      <c r="G6" s="161">
        <f>G8+G20</f>
        <v>69</v>
      </c>
      <c r="H6" s="179" t="str">
        <f>IF(AND(G6&lt;=G4,G6&gt;=G7),"OK",IF(G6&lt;G7,"Sociālo pakalpojumu sniedzēju institūciju darbinieki, ja sociālo pakalpojumu sniedzējs ir sociālā dienesta struktūrvienība, pārsniedz kopējo sociālā dienesta darbinieku skaitu!","Sociālā dienesta darbinieku kopējais skaits pārsniedz darbinieku skaitu pašvaldības institūcijās!"))</f>
        <v>OK</v>
      </c>
      <c r="I6" s="155"/>
      <c r="O6" s="233"/>
      <c r="P6" s="233" t="b">
        <f>G5=G8+2!G10</f>
        <v>0</v>
      </c>
      <c r="Q6" s="233"/>
    </row>
    <row r="7" spans="1:17" s="158" customFormat="1" ht="39.75" customHeight="1">
      <c r="A7" s="439"/>
      <c r="B7" s="432" t="s">
        <v>69</v>
      </c>
      <c r="C7" s="440"/>
      <c r="D7" s="433"/>
      <c r="E7" s="224" t="s">
        <v>723</v>
      </c>
      <c r="F7" s="225" t="s">
        <v>67</v>
      </c>
      <c r="G7" s="226">
        <f>G9+G21</f>
        <v>7</v>
      </c>
      <c r="I7" s="155"/>
      <c r="K7" s="158" t="str">
        <f>IF(SUM(G4:G23)=0,"OK",IF(G4&gt;=G6,IF(AND(G4&gt;0,G5&gt;0)=TRUE,IF(AND(G6=G8+G20,G10&gt;=G11,G10=G12+G13+G14,G16&gt;=G17,G18&gt;=G19),IF(AND(G20&gt;=G21,G20&gt;=G22,G20&gt;=G23,G22&gt;=G23),"OK","Pārbaudi "&amp;A20&amp;" vai ir ievadīti pareizi"),"Pārbaudi  "&amp;A6&amp;" vai ir ievadīti pareizi"),"pārbaudi vai viss ierakstīts kā vajaga"),"pārbaudi G4 un G6"))</f>
        <v>OK</v>
      </c>
      <c r="O7" s="233"/>
      <c r="P7" s="233" t="b">
        <f>G6=G8+G20</f>
        <v>1</v>
      </c>
      <c r="Q7" s="233"/>
    </row>
    <row r="8" spans="1:17" s="158" customFormat="1" ht="14.25" customHeight="1">
      <c r="A8" s="428" t="s">
        <v>105</v>
      </c>
      <c r="B8" s="421" t="s">
        <v>70</v>
      </c>
      <c r="C8" s="432" t="s">
        <v>65</v>
      </c>
      <c r="D8" s="433"/>
      <c r="E8" s="224" t="s">
        <v>724</v>
      </c>
      <c r="F8" s="225" t="s">
        <v>67</v>
      </c>
      <c r="G8" s="226">
        <f>G10+G15+G16+G18</f>
        <v>48</v>
      </c>
      <c r="H8" s="228"/>
      <c r="I8" s="155"/>
      <c r="O8" s="233"/>
      <c r="P8" s="233" t="b">
        <f>G7=G9+G21</f>
        <v>1</v>
      </c>
      <c r="Q8" s="233"/>
    </row>
    <row r="9" spans="1:17" s="158" customFormat="1" ht="48.75" customHeight="1">
      <c r="A9" s="429"/>
      <c r="B9" s="421"/>
      <c r="C9" s="422" t="s">
        <v>71</v>
      </c>
      <c r="D9" s="424"/>
      <c r="E9" s="157" t="s">
        <v>725</v>
      </c>
      <c r="F9" s="156" t="s">
        <v>67</v>
      </c>
      <c r="G9" s="161">
        <f>G11+G17+G19</f>
        <v>2</v>
      </c>
      <c r="H9" s="179" t="str">
        <f>IF(G9&lt;=G8,"OK","Sociālā darba speciālistu skaits institūcijā, kas sniedz sociālos pakalpojumus un ir sociālā dienesta struktūrvienība, pārsniedz kopējo sociālā darba speciālistu skaitu!")</f>
        <v>OK</v>
      </c>
      <c r="I9" s="155"/>
      <c r="J9" s="233"/>
      <c r="K9" s="233" t="b">
        <f>IF(G4&gt;=G5,IF(G5=G8+2!G10,))</f>
        <v>0</v>
      </c>
      <c r="L9" s="233"/>
      <c r="M9" s="233"/>
      <c r="N9" s="233"/>
      <c r="O9" s="233"/>
      <c r="P9" s="233"/>
      <c r="Q9" s="233"/>
    </row>
    <row r="10" spans="1:17" s="158" customFormat="1" ht="15" customHeight="1">
      <c r="A10" s="430"/>
      <c r="B10" s="434" t="s">
        <v>105</v>
      </c>
      <c r="C10" s="420" t="s">
        <v>72</v>
      </c>
      <c r="D10" s="156" t="s">
        <v>65</v>
      </c>
      <c r="E10" s="157" t="s">
        <v>726</v>
      </c>
      <c r="F10" s="156" t="s">
        <v>67</v>
      </c>
      <c r="G10" s="161">
        <f>G12+G13+G14</f>
        <v>40</v>
      </c>
      <c r="I10" s="155"/>
      <c r="J10" s="233"/>
      <c r="K10" s="233" t="e">
        <f>IF(CODE(2!F21:L21)=0,IF(G5=G8+2!G10,))</f>
        <v>#VALUE!</v>
      </c>
      <c r="L10" s="233" t="e">
        <f>CODE(2!F21:L21)</f>
        <v>#VALUE!</v>
      </c>
      <c r="M10" s="233"/>
      <c r="N10" s="233"/>
      <c r="O10" s="233"/>
      <c r="P10" s="233"/>
      <c r="Q10" s="233"/>
    </row>
    <row r="11" spans="1:17" s="158" customFormat="1" ht="38.25">
      <c r="A11" s="430"/>
      <c r="B11" s="435"/>
      <c r="C11" s="420"/>
      <c r="D11" s="156" t="s">
        <v>73</v>
      </c>
      <c r="E11" s="178" t="s">
        <v>727</v>
      </c>
      <c r="F11" s="156" t="s">
        <v>67</v>
      </c>
      <c r="G11" s="137">
        <v>2</v>
      </c>
      <c r="H11" s="179" t="str">
        <f>IF(G11&lt;=G10,"OK","Sociālo darbinieku skaits institūcijā, kas sniedz sociālos pakalpojumus un ir sociālā dienesta struktūrvienība, pārsniedz kopējo sociālo darbinieku skaitu!")</f>
        <v>OK</v>
      </c>
      <c r="J11" s="233"/>
      <c r="K11" s="233">
        <f>IF(G6=G8+G20,)</f>
        <v>0</v>
      </c>
      <c r="L11" s="233">
        <f>2!F21:L21</f>
        <v>0</v>
      </c>
      <c r="M11" s="233"/>
      <c r="N11" s="233"/>
      <c r="O11" s="233"/>
      <c r="P11" s="233"/>
      <c r="Q11" s="233"/>
    </row>
    <row r="12" spans="1:14" s="158" customFormat="1" ht="25.5">
      <c r="A12" s="430"/>
      <c r="B12" s="435"/>
      <c r="C12" s="421" t="s">
        <v>74</v>
      </c>
      <c r="D12" s="156" t="s">
        <v>75</v>
      </c>
      <c r="E12" s="178" t="s">
        <v>728</v>
      </c>
      <c r="F12" s="156" t="s">
        <v>67</v>
      </c>
      <c r="G12" s="137">
        <v>13</v>
      </c>
      <c r="I12" s="227"/>
      <c r="J12" s="234"/>
      <c r="K12" s="234">
        <f>IF(G7=G9+G21,)</f>
        <v>0</v>
      </c>
      <c r="L12" s="234"/>
      <c r="M12" s="233"/>
      <c r="N12" s="233"/>
    </row>
    <row r="13" spans="1:14" s="158" customFormat="1" ht="25.5">
      <c r="A13" s="430"/>
      <c r="B13" s="435"/>
      <c r="C13" s="421"/>
      <c r="D13" s="156" t="s">
        <v>76</v>
      </c>
      <c r="E13" s="178" t="s">
        <v>729</v>
      </c>
      <c r="F13" s="156" t="s">
        <v>67</v>
      </c>
      <c r="G13" s="137">
        <v>20</v>
      </c>
      <c r="I13" s="227"/>
      <c r="J13" s="234"/>
      <c r="K13" s="234"/>
      <c r="L13" s="234"/>
      <c r="M13" s="233">
        <f>IF(G8=G10+G15+G16+G18,)</f>
        <v>0</v>
      </c>
      <c r="N13" s="233"/>
    </row>
    <row r="14" spans="1:14" s="158" customFormat="1" ht="25.5">
      <c r="A14" s="430"/>
      <c r="B14" s="435"/>
      <c r="C14" s="421"/>
      <c r="D14" s="156" t="s">
        <v>77</v>
      </c>
      <c r="E14" s="178" t="s">
        <v>730</v>
      </c>
      <c r="F14" s="156" t="s">
        <v>67</v>
      </c>
      <c r="G14" s="137">
        <v>7</v>
      </c>
      <c r="I14" s="227"/>
      <c r="J14" s="234"/>
      <c r="K14" s="234"/>
      <c r="L14" s="234"/>
      <c r="M14" s="233">
        <f>IF(G9=G11+G17+G19,)</f>
        <v>0</v>
      </c>
      <c r="N14" s="233"/>
    </row>
    <row r="15" spans="1:9" s="158" customFormat="1" ht="19.5" customHeight="1">
      <c r="A15" s="430"/>
      <c r="B15" s="435"/>
      <c r="C15" s="437" t="s">
        <v>78</v>
      </c>
      <c r="D15" s="437"/>
      <c r="E15" s="157" t="s">
        <v>731</v>
      </c>
      <c r="F15" s="156" t="s">
        <v>67</v>
      </c>
      <c r="G15" s="137">
        <v>3</v>
      </c>
      <c r="I15" s="155"/>
    </row>
    <row r="16" spans="1:9" s="158" customFormat="1" ht="15" customHeight="1">
      <c r="A16" s="430"/>
      <c r="B16" s="435"/>
      <c r="C16" s="420" t="s">
        <v>79</v>
      </c>
      <c r="D16" s="156" t="s">
        <v>65</v>
      </c>
      <c r="E16" s="157" t="s">
        <v>732</v>
      </c>
      <c r="F16" s="156" t="s">
        <v>67</v>
      </c>
      <c r="G16" s="137">
        <v>1</v>
      </c>
      <c r="I16" s="162"/>
    </row>
    <row r="17" spans="1:8" s="158" customFormat="1" ht="38.25">
      <c r="A17" s="430"/>
      <c r="B17" s="435"/>
      <c r="C17" s="420"/>
      <c r="D17" s="156" t="s">
        <v>80</v>
      </c>
      <c r="E17" s="178" t="s">
        <v>733</v>
      </c>
      <c r="F17" s="156" t="s">
        <v>67</v>
      </c>
      <c r="G17" s="137">
        <v>0</v>
      </c>
      <c r="H17" s="179" t="str">
        <f>IF(G17&lt;=G16,"OK","Sociālo aprūpētāju skaits institūcijā, kas sniedz sociālos pakalpojumus un ir sociālā dienesta struktūrvienība, pārsniedz kopējo sociālo aprūpētāju skaitu!")</f>
        <v>OK</v>
      </c>
    </row>
    <row r="18" spans="1:9" s="158" customFormat="1" ht="14.25" customHeight="1">
      <c r="A18" s="430"/>
      <c r="B18" s="435"/>
      <c r="C18" s="420" t="s">
        <v>81</v>
      </c>
      <c r="D18" s="156" t="s">
        <v>65</v>
      </c>
      <c r="E18" s="157" t="s">
        <v>734</v>
      </c>
      <c r="F18" s="156" t="s">
        <v>67</v>
      </c>
      <c r="G18" s="137">
        <v>4</v>
      </c>
      <c r="I18" s="155"/>
    </row>
    <row r="19" spans="1:8" s="158" customFormat="1" ht="38.25">
      <c r="A19" s="431"/>
      <c r="B19" s="436"/>
      <c r="C19" s="420"/>
      <c r="D19" s="156" t="s">
        <v>82</v>
      </c>
      <c r="E19" s="178" t="s">
        <v>735</v>
      </c>
      <c r="F19" s="156" t="s">
        <v>67</v>
      </c>
      <c r="G19" s="137">
        <v>0</v>
      </c>
      <c r="H19" s="179" t="str">
        <f>IF(G19&lt;=G18,"OK","Sociālo rehabilitētāju skaits institūcijā, kas sniedz sociālos pakalpojumus un ir sociālā dienesta struktūrvienība, pārsniedz kopējo sociālo rehabilitētāju skaitu!")</f>
        <v>OK</v>
      </c>
    </row>
    <row r="20" spans="1:9" s="158" customFormat="1" ht="15" customHeight="1">
      <c r="A20" s="418" t="s">
        <v>83</v>
      </c>
      <c r="B20" s="422" t="s">
        <v>65</v>
      </c>
      <c r="C20" s="423"/>
      <c r="D20" s="424"/>
      <c r="E20" s="159" t="s">
        <v>736</v>
      </c>
      <c r="F20" s="156" t="s">
        <v>67</v>
      </c>
      <c r="G20" s="137">
        <v>21</v>
      </c>
      <c r="I20" s="155"/>
    </row>
    <row r="21" spans="1:8" s="158" customFormat="1" ht="36" customHeight="1">
      <c r="A21" s="418"/>
      <c r="B21" s="422" t="s">
        <v>84</v>
      </c>
      <c r="C21" s="423"/>
      <c r="D21" s="424"/>
      <c r="E21" s="157" t="s">
        <v>737</v>
      </c>
      <c r="F21" s="156" t="s">
        <v>67</v>
      </c>
      <c r="G21" s="137">
        <v>5</v>
      </c>
      <c r="H21" s="179" t="str">
        <f>IF(G21&lt;=G20,"OK","Citu profesiju pārstāvju skaits institūcijā, kas sniedz sociālos pakalpojumus un ir sociālā dienesta struktūrvienība, pārsniedz kopējo citu profesiju pārstāju skaitu!")</f>
        <v>OK</v>
      </c>
    </row>
    <row r="22" spans="1:9" s="158" customFormat="1" ht="15" customHeight="1">
      <c r="A22" s="418" t="s">
        <v>85</v>
      </c>
      <c r="B22" s="422" t="s">
        <v>65</v>
      </c>
      <c r="C22" s="423"/>
      <c r="D22" s="424"/>
      <c r="E22" s="157" t="s">
        <v>738</v>
      </c>
      <c r="F22" s="156" t="s">
        <v>67</v>
      </c>
      <c r="G22" s="137">
        <v>13</v>
      </c>
      <c r="H22" s="179" t="str">
        <f>IF(G22&lt;=G20,"OK","PĀRBAUDIET CITU PROFESIJU PĀRSTĀVJU SKAITU VISĀS TABULĀS")</f>
        <v>OK</v>
      </c>
      <c r="I22" s="155"/>
    </row>
    <row r="23" spans="1:9" s="158" customFormat="1" ht="40.5" customHeight="1" thickBot="1">
      <c r="A23" s="419"/>
      <c r="B23" s="425" t="s">
        <v>86</v>
      </c>
      <c r="C23" s="426"/>
      <c r="D23" s="427"/>
      <c r="E23" s="172" t="s">
        <v>739</v>
      </c>
      <c r="F23" s="166" t="s">
        <v>67</v>
      </c>
      <c r="G23" s="138">
        <v>5</v>
      </c>
      <c r="H23" s="179" t="str">
        <f>IF(G23&lt;=G22,"OK","Citu profesiju pārstāvju skaits, kuri sadarbojas ar klientu institūcijā, kas sniedz sociālos pakalpojumus un ir sociālā dienesta struktūrvienība, pārsniedz kopējo citu profesiju pārstāvju skaitu, kuri sadarbojušies ar klientu!")</f>
        <v>OK</v>
      </c>
      <c r="I23" s="155"/>
    </row>
  </sheetData>
  <sheetProtection password="CE88" sheet="1" objects="1" scenarios="1"/>
  <mergeCells count="25">
    <mergeCell ref="A6:A7"/>
    <mergeCell ref="B6:D6"/>
    <mergeCell ref="B7:D7"/>
    <mergeCell ref="A1:G1"/>
    <mergeCell ref="A2:G2"/>
    <mergeCell ref="A3:D3"/>
    <mergeCell ref="A4:A5"/>
    <mergeCell ref="B4:D4"/>
    <mergeCell ref="B5:D5"/>
    <mergeCell ref="B8:B9"/>
    <mergeCell ref="A8:A19"/>
    <mergeCell ref="C8:D8"/>
    <mergeCell ref="C9:D9"/>
    <mergeCell ref="B10:B19"/>
    <mergeCell ref="C15:D15"/>
    <mergeCell ref="C16:C17"/>
    <mergeCell ref="A22:A23"/>
    <mergeCell ref="C18:C19"/>
    <mergeCell ref="A20:A21"/>
    <mergeCell ref="C10:C11"/>
    <mergeCell ref="C12:C14"/>
    <mergeCell ref="B21:D21"/>
    <mergeCell ref="B22:D22"/>
    <mergeCell ref="B23:D23"/>
    <mergeCell ref="B20:D20"/>
  </mergeCells>
  <printOptions/>
  <pageMargins left="0.75" right="0.75" top="0.76" bottom="0.59" header="0.45" footer="0.28"/>
  <pageSetup horizontalDpi="1200" verticalDpi="1200" orientation="portrait" paperSize="9" scale="83"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J24"/>
  <sheetViews>
    <sheetView zoomScalePageLayoutView="0" workbookViewId="0" topLeftCell="A4">
      <selection activeCell="G23" sqref="G23"/>
    </sheetView>
  </sheetViews>
  <sheetFormatPr defaultColWidth="9.140625" defaultRowHeight="12.75"/>
  <cols>
    <col min="1" max="1" width="9.140625" style="1" customWidth="1"/>
    <col min="2" max="3" width="7.421875" style="1" customWidth="1"/>
    <col min="4" max="4" width="27.28125" style="1" customWidth="1"/>
    <col min="5" max="5" width="11.28125" style="94" customWidth="1"/>
    <col min="6" max="6" width="12.7109375" style="1" customWidth="1"/>
    <col min="7" max="7" width="11.57421875" style="1" customWidth="1"/>
  </cols>
  <sheetData>
    <row r="1" spans="1:7" ht="45.75" customHeight="1" thickBot="1">
      <c r="A1" s="454" t="s">
        <v>88</v>
      </c>
      <c r="B1" s="455"/>
      <c r="C1" s="455"/>
      <c r="D1" s="455"/>
      <c r="E1" s="455"/>
      <c r="F1" s="455"/>
      <c r="G1" s="455"/>
    </row>
    <row r="2" spans="1:7" ht="15" thickBot="1">
      <c r="A2" s="456" t="s">
        <v>63</v>
      </c>
      <c r="B2" s="457"/>
      <c r="C2" s="457"/>
      <c r="D2" s="458"/>
      <c r="E2" s="88" t="s">
        <v>60</v>
      </c>
      <c r="F2" s="52" t="s">
        <v>61</v>
      </c>
      <c r="G2" s="53" t="s">
        <v>62</v>
      </c>
    </row>
    <row r="3" spans="1:10" s="64" customFormat="1" ht="30" customHeight="1">
      <c r="A3" s="459" t="s">
        <v>262</v>
      </c>
      <c r="B3" s="460"/>
      <c r="C3" s="460"/>
      <c r="D3" s="461"/>
      <c r="E3" s="89">
        <v>121</v>
      </c>
      <c r="F3" s="70" t="s">
        <v>67</v>
      </c>
      <c r="G3" s="118">
        <f>G4+G5+G10</f>
        <v>43</v>
      </c>
      <c r="I3" s="126"/>
      <c r="J3" s="232">
        <f>IF(G3+G16='1.1'!G8-'1.1'!G9,)</f>
        <v>0</v>
      </c>
    </row>
    <row r="4" spans="1:10" s="64" customFormat="1" ht="26.25" customHeight="1">
      <c r="A4" s="464" t="s">
        <v>74</v>
      </c>
      <c r="B4" s="462" t="s">
        <v>89</v>
      </c>
      <c r="C4" s="463"/>
      <c r="D4" s="463"/>
      <c r="E4" s="91" t="s">
        <v>268</v>
      </c>
      <c r="F4" s="55" t="s">
        <v>67</v>
      </c>
      <c r="G4" s="137">
        <v>35</v>
      </c>
      <c r="J4" s="232">
        <f>IF(AND(G3=G4+G10+G5,G5=G6+G7+G8,G5&gt;=G9,G10&gt;=G11+G15,G11=G12+G13+G14),)</f>
        <v>0</v>
      </c>
    </row>
    <row r="5" spans="1:10" s="64" customFormat="1" ht="15.75" customHeight="1">
      <c r="A5" s="465"/>
      <c r="B5" s="462" t="s">
        <v>90</v>
      </c>
      <c r="C5" s="463"/>
      <c r="D5" s="463"/>
      <c r="E5" s="91" t="s">
        <v>269</v>
      </c>
      <c r="F5" s="55" t="s">
        <v>67</v>
      </c>
      <c r="G5" s="117">
        <f>G6+G7+G8</f>
        <v>8</v>
      </c>
      <c r="J5" s="64" t="s">
        <v>930</v>
      </c>
    </row>
    <row r="6" spans="1:10" s="64" customFormat="1" ht="14.25" customHeight="1">
      <c r="A6" s="465"/>
      <c r="B6" s="466" t="s">
        <v>74</v>
      </c>
      <c r="C6" s="462" t="s">
        <v>91</v>
      </c>
      <c r="D6" s="462"/>
      <c r="E6" s="90" t="s">
        <v>270</v>
      </c>
      <c r="F6" s="55" t="s">
        <v>67</v>
      </c>
      <c r="G6" s="137">
        <v>3</v>
      </c>
      <c r="J6" s="64" t="str">
        <f>IF(G3=G4+G10+G5,IF(G5=G6+G7+G8,IF(G5&gt;=G9,IF(G10&gt;=G11+G15,IF(G11=G12+G13+G14,IF(G3+G16='1.1'!G8-'1.1'!G9,"OK","Pārbaudi tabulā 1.2 G3, G16, tabulā 1.1 G8, G9"),"Pārbaudi tabulā 2.1 G11, G12, G13, G14"),"Pārbaudi tabulā 1.2 G10, G11, G15"),"Pāerbaudi tabulā 1.2 G5, G9"),"Pārbaudi tabulā 1.2 G5, G6, G7, G8"),"Pārbaudi tabulā 1.2 G3, G4, G5, G10")</f>
        <v>OK</v>
      </c>
    </row>
    <row r="7" spans="1:7" s="64" customFormat="1" ht="14.25" customHeight="1">
      <c r="A7" s="465"/>
      <c r="B7" s="467"/>
      <c r="C7" s="468" t="s">
        <v>92</v>
      </c>
      <c r="D7" s="468"/>
      <c r="E7" s="90" t="s">
        <v>271</v>
      </c>
      <c r="F7" s="55" t="s">
        <v>67</v>
      </c>
      <c r="G7" s="137">
        <v>1</v>
      </c>
    </row>
    <row r="8" spans="1:7" s="64" customFormat="1" ht="13.5" customHeight="1">
      <c r="A8" s="465"/>
      <c r="B8" s="467"/>
      <c r="C8" s="468" t="s">
        <v>93</v>
      </c>
      <c r="D8" s="468"/>
      <c r="E8" s="90" t="s">
        <v>272</v>
      </c>
      <c r="F8" s="55" t="s">
        <v>67</v>
      </c>
      <c r="G8" s="137">
        <v>4</v>
      </c>
    </row>
    <row r="9" spans="1:8" s="64" customFormat="1" ht="39" customHeight="1">
      <c r="A9" s="465"/>
      <c r="B9" s="462" t="s">
        <v>94</v>
      </c>
      <c r="C9" s="463"/>
      <c r="D9" s="463"/>
      <c r="E9" s="95" t="s">
        <v>273</v>
      </c>
      <c r="F9" s="55" t="s">
        <v>67</v>
      </c>
      <c r="G9" s="137">
        <v>0</v>
      </c>
      <c r="H9" s="179" t="str">
        <f>IF(G9&lt;=G5,"OK","Soc. darba speciālistu skaits, kas iegūst otrā līmeņa profesionālo augstāko vai akadēmisko izglītību sociālajā darbā vai karitatīvajā sociālajā darbā, pārsniedz kopējo ieguvušo pirmā līmeņa profesionālo augstāku izglītību sociālā darba speciālistu skaitu!")</f>
        <v>OK</v>
      </c>
    </row>
    <row r="10" spans="1:8" s="64" customFormat="1" ht="27" customHeight="1">
      <c r="A10" s="465"/>
      <c r="B10" s="462" t="s">
        <v>263</v>
      </c>
      <c r="C10" s="463"/>
      <c r="D10" s="463"/>
      <c r="E10" s="96" t="s">
        <v>274</v>
      </c>
      <c r="F10" s="55" t="s">
        <v>67</v>
      </c>
      <c r="G10" s="137">
        <v>0</v>
      </c>
      <c r="H10" s="179" t="str">
        <f>IF(G10&gt;=SUM(G11,G15),"OK","Pārbaudiet sociālā darba speciālistu sadalījumu ar otrā līmeņa profesionālo augstāko vai akadēmisko izglītību citā profesijā!")</f>
        <v>OK</v>
      </c>
    </row>
    <row r="11" spans="1:7" s="64" customFormat="1" ht="27.75" customHeight="1">
      <c r="A11" s="465"/>
      <c r="B11" s="475" t="s">
        <v>74</v>
      </c>
      <c r="C11" s="462" t="s">
        <v>95</v>
      </c>
      <c r="D11" s="462"/>
      <c r="E11" s="96" t="s">
        <v>284</v>
      </c>
      <c r="F11" s="55" t="s">
        <v>67</v>
      </c>
      <c r="G11" s="117">
        <f>G12+G13+G14</f>
        <v>0</v>
      </c>
    </row>
    <row r="12" spans="1:7" s="64" customFormat="1" ht="25.5">
      <c r="A12" s="465"/>
      <c r="B12" s="476"/>
      <c r="C12" s="475" t="s">
        <v>74</v>
      </c>
      <c r="D12" s="55" t="s">
        <v>96</v>
      </c>
      <c r="E12" s="95" t="s">
        <v>285</v>
      </c>
      <c r="F12" s="55" t="s">
        <v>67</v>
      </c>
      <c r="G12" s="137">
        <v>0</v>
      </c>
    </row>
    <row r="13" spans="1:7" s="64" customFormat="1" ht="14.25" customHeight="1">
      <c r="A13" s="465"/>
      <c r="B13" s="476"/>
      <c r="C13" s="476"/>
      <c r="D13" s="55" t="s">
        <v>97</v>
      </c>
      <c r="E13" s="95" t="s">
        <v>286</v>
      </c>
      <c r="F13" s="55" t="s">
        <v>67</v>
      </c>
      <c r="G13" s="137">
        <v>0</v>
      </c>
    </row>
    <row r="14" spans="1:7" s="64" customFormat="1" ht="12.75" customHeight="1">
      <c r="A14" s="465"/>
      <c r="B14" s="476"/>
      <c r="C14" s="476"/>
      <c r="D14" s="55" t="s">
        <v>261</v>
      </c>
      <c r="E14" s="95" t="s">
        <v>287</v>
      </c>
      <c r="F14" s="55" t="s">
        <v>67</v>
      </c>
      <c r="G14" s="137">
        <v>0</v>
      </c>
    </row>
    <row r="15" spans="1:7" s="64" customFormat="1" ht="40.5" customHeight="1">
      <c r="A15" s="465"/>
      <c r="B15" s="476"/>
      <c r="C15" s="462" t="s">
        <v>98</v>
      </c>
      <c r="D15" s="463"/>
      <c r="E15" s="96" t="s">
        <v>288</v>
      </c>
      <c r="F15" s="55" t="s">
        <v>67</v>
      </c>
      <c r="G15" s="137">
        <v>0</v>
      </c>
    </row>
    <row r="16" spans="1:8" s="64" customFormat="1" ht="27" customHeight="1">
      <c r="A16" s="477" t="s">
        <v>264</v>
      </c>
      <c r="B16" s="463"/>
      <c r="C16" s="463"/>
      <c r="D16" s="463"/>
      <c r="E16" s="92" t="s">
        <v>275</v>
      </c>
      <c r="F16" s="55" t="s">
        <v>67</v>
      </c>
      <c r="G16" s="137">
        <v>3</v>
      </c>
      <c r="H16" s="179" t="str">
        <f>IF(G16&gt;=SUM(G17,G21),"OK","Pārbaudiet speciālistu sadalījumu ar profesionālo vidējo izglītību vai vispārējo vidējo izglītību!")</f>
        <v>OK</v>
      </c>
    </row>
    <row r="17" spans="1:7" s="64" customFormat="1" ht="24.75" customHeight="1">
      <c r="A17" s="478" t="s">
        <v>74</v>
      </c>
      <c r="B17" s="462" t="s">
        <v>95</v>
      </c>
      <c r="C17" s="462"/>
      <c r="D17" s="471"/>
      <c r="E17" s="96" t="s">
        <v>278</v>
      </c>
      <c r="F17" s="55" t="s">
        <v>67</v>
      </c>
      <c r="G17" s="117">
        <f>G18+G19+G20</f>
        <v>0</v>
      </c>
    </row>
    <row r="18" spans="1:7" s="64" customFormat="1" ht="12.75">
      <c r="A18" s="465"/>
      <c r="B18" s="475" t="s">
        <v>74</v>
      </c>
      <c r="C18" s="462" t="s">
        <v>96</v>
      </c>
      <c r="D18" s="471"/>
      <c r="E18" s="95" t="s">
        <v>280</v>
      </c>
      <c r="F18" s="55" t="s">
        <v>67</v>
      </c>
      <c r="G18" s="137">
        <v>0</v>
      </c>
    </row>
    <row r="19" spans="1:7" s="64" customFormat="1" ht="12.75" customHeight="1">
      <c r="A19" s="465"/>
      <c r="B19" s="476"/>
      <c r="C19" s="462" t="s">
        <v>97</v>
      </c>
      <c r="D19" s="471"/>
      <c r="E19" s="95" t="s">
        <v>281</v>
      </c>
      <c r="F19" s="55" t="s">
        <v>67</v>
      </c>
      <c r="G19" s="137">
        <v>0</v>
      </c>
    </row>
    <row r="20" spans="1:7" s="64" customFormat="1" ht="14.25" customHeight="1">
      <c r="A20" s="465"/>
      <c r="B20" s="476"/>
      <c r="C20" s="462" t="s">
        <v>261</v>
      </c>
      <c r="D20" s="471"/>
      <c r="E20" s="95" t="s">
        <v>282</v>
      </c>
      <c r="F20" s="55" t="s">
        <v>67</v>
      </c>
      <c r="G20" s="137">
        <v>0</v>
      </c>
    </row>
    <row r="21" spans="1:7" s="64" customFormat="1" ht="37.5" customHeight="1">
      <c r="A21" s="465"/>
      <c r="B21" s="462" t="s">
        <v>98</v>
      </c>
      <c r="C21" s="463"/>
      <c r="D21" s="471"/>
      <c r="E21" s="97" t="s">
        <v>279</v>
      </c>
      <c r="F21" s="55" t="s">
        <v>67</v>
      </c>
      <c r="G21" s="137">
        <v>3</v>
      </c>
    </row>
    <row r="22" spans="1:8" s="64" customFormat="1" ht="15.75" customHeight="1">
      <c r="A22" s="470" t="s">
        <v>99</v>
      </c>
      <c r="B22" s="471"/>
      <c r="C22" s="471"/>
      <c r="D22" s="471"/>
      <c r="E22" s="97" t="s">
        <v>283</v>
      </c>
      <c r="F22" s="55" t="s">
        <v>67</v>
      </c>
      <c r="G22" s="137">
        <v>0</v>
      </c>
      <c r="H22" s="179" t="str">
        <f>IF(G22&lt;=G16,"OK","Pārbaudiet speciālistu skaitu ar profesionālo vidējo izglītību sociālās aprūpes jomā!")</f>
        <v>OK</v>
      </c>
    </row>
    <row r="23" spans="1:7" s="64" customFormat="1" ht="40.5" customHeight="1">
      <c r="A23" s="464" t="s">
        <v>265</v>
      </c>
      <c r="B23" s="467"/>
      <c r="C23" s="462" t="s">
        <v>101</v>
      </c>
      <c r="D23" s="463"/>
      <c r="E23" s="92" t="s">
        <v>276</v>
      </c>
      <c r="F23" s="466" t="s">
        <v>102</v>
      </c>
      <c r="G23" s="137">
        <v>1</v>
      </c>
    </row>
    <row r="24" spans="1:7" s="64" customFormat="1" ht="27" customHeight="1" thickBot="1">
      <c r="A24" s="472"/>
      <c r="B24" s="469"/>
      <c r="C24" s="473" t="s">
        <v>100</v>
      </c>
      <c r="D24" s="474"/>
      <c r="E24" s="93" t="s">
        <v>277</v>
      </c>
      <c r="F24" s="469"/>
      <c r="G24" s="138">
        <v>0</v>
      </c>
    </row>
  </sheetData>
  <sheetProtection password="CE88" sheet="1" objects="1" scenarios="1"/>
  <mergeCells count="29">
    <mergeCell ref="A16:D16"/>
    <mergeCell ref="B11:B15"/>
    <mergeCell ref="A17:A21"/>
    <mergeCell ref="B18:B20"/>
    <mergeCell ref="B17:D17"/>
    <mergeCell ref="B21:D21"/>
    <mergeCell ref="C18:D18"/>
    <mergeCell ref="C19:D19"/>
    <mergeCell ref="C20:D20"/>
    <mergeCell ref="C7:D7"/>
    <mergeCell ref="C8:D8"/>
    <mergeCell ref="F23:F24"/>
    <mergeCell ref="A22:D22"/>
    <mergeCell ref="A23:B24"/>
    <mergeCell ref="C23:D23"/>
    <mergeCell ref="C24:D24"/>
    <mergeCell ref="C11:D11"/>
    <mergeCell ref="C12:C14"/>
    <mergeCell ref="C15:D15"/>
    <mergeCell ref="A1:G1"/>
    <mergeCell ref="A2:D2"/>
    <mergeCell ref="A3:D3"/>
    <mergeCell ref="B4:D4"/>
    <mergeCell ref="A4:A15"/>
    <mergeCell ref="B5:D5"/>
    <mergeCell ref="B6:B8"/>
    <mergeCell ref="B9:D9"/>
    <mergeCell ref="B10:D10"/>
    <mergeCell ref="C6:D6"/>
  </mergeCells>
  <printOptions/>
  <pageMargins left="0.75" right="0.75" top="0.75" bottom="1" header="0.5" footer="0.5"/>
  <pageSetup horizontalDpi="1200" verticalDpi="1200" orientation="portrait" paperSize="9"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K36"/>
  <sheetViews>
    <sheetView zoomScalePageLayoutView="0" workbookViewId="0" topLeftCell="A1">
      <selection activeCell="I18" sqref="I18"/>
    </sheetView>
  </sheetViews>
  <sheetFormatPr defaultColWidth="9.140625" defaultRowHeight="12.75"/>
  <cols>
    <col min="1" max="1" width="18.140625" style="0" customWidth="1"/>
    <col min="2" max="2" width="6.8515625" style="0" customWidth="1"/>
    <col min="3" max="3" width="9.28125" style="0" customWidth="1"/>
    <col min="4" max="4" width="15.140625" style="0" customWidth="1"/>
    <col min="5" max="5" width="13.140625" style="104" customWidth="1"/>
    <col min="6" max="6" width="13.57421875" style="0" customWidth="1"/>
    <col min="7" max="7" width="11.00390625" style="0" customWidth="1"/>
  </cols>
  <sheetData>
    <row r="1" spans="1:7" ht="43.5" customHeight="1" thickBot="1">
      <c r="A1" s="480" t="s">
        <v>103</v>
      </c>
      <c r="B1" s="481"/>
      <c r="C1" s="481"/>
      <c r="D1" s="481"/>
      <c r="E1" s="481"/>
      <c r="F1" s="481"/>
      <c r="G1" s="481"/>
    </row>
    <row r="2" spans="1:11" ht="21" customHeight="1" thickBot="1">
      <c r="A2" s="484" t="s">
        <v>63</v>
      </c>
      <c r="B2" s="485"/>
      <c r="C2" s="485"/>
      <c r="D2" s="486"/>
      <c r="E2" s="88" t="s">
        <v>60</v>
      </c>
      <c r="F2" s="52" t="s">
        <v>61</v>
      </c>
      <c r="G2" s="53" t="s">
        <v>62</v>
      </c>
      <c r="K2" s="232" t="b">
        <f>'1.1'!G10-'1.1'!G11+1='1.3_1.4'!G3+'1.3_1.4'!G7</f>
        <v>1</v>
      </c>
    </row>
    <row r="3" spans="1:11" s="64" customFormat="1" ht="31.5" customHeight="1">
      <c r="A3" s="487" t="s">
        <v>108</v>
      </c>
      <c r="B3" s="489" t="s">
        <v>1022</v>
      </c>
      <c r="C3" s="490"/>
      <c r="D3" s="491"/>
      <c r="E3" s="393" t="s">
        <v>289</v>
      </c>
      <c r="F3" s="394" t="s">
        <v>67</v>
      </c>
      <c r="G3" s="395">
        <f>G4+G5+G6</f>
        <v>39</v>
      </c>
      <c r="K3" s="232" t="b">
        <f>'1.1'!G15+'1.1'!G16-'1.1'!G17+'1.1'!G18-'1.1'!G19='1.3_1.4'!G8+'1.3_1.4'!G12</f>
        <v>1</v>
      </c>
    </row>
    <row r="4" spans="1:11" s="64" customFormat="1" ht="15" customHeight="1">
      <c r="A4" s="488"/>
      <c r="B4" s="482" t="s">
        <v>105</v>
      </c>
      <c r="C4" s="492" t="s">
        <v>959</v>
      </c>
      <c r="D4" s="493"/>
      <c r="E4" s="282" t="s">
        <v>299</v>
      </c>
      <c r="F4" s="85" t="s">
        <v>67</v>
      </c>
      <c r="G4" s="259">
        <v>22</v>
      </c>
      <c r="K4" s="232" t="b">
        <f>'1.1'!G22-1&gt;='1.3_1.4'!G13+'1.3_1.4'!G17</f>
        <v>1</v>
      </c>
    </row>
    <row r="5" spans="1:11" s="64" customFormat="1" ht="15" customHeight="1">
      <c r="A5" s="488"/>
      <c r="B5" s="482"/>
      <c r="C5" s="492" t="s">
        <v>1023</v>
      </c>
      <c r="D5" s="493"/>
      <c r="E5" s="282" t="s">
        <v>300</v>
      </c>
      <c r="F5" s="85" t="s">
        <v>67</v>
      </c>
      <c r="G5" s="259">
        <v>8</v>
      </c>
      <c r="K5" s="232" t="b">
        <f>'1.1'!G22-'1.1'!G23-1&lt;='1.3_1.4'!G19+'1.3_1.4'!G20</f>
        <v>0</v>
      </c>
    </row>
    <row r="6" spans="1:7" s="64" customFormat="1" ht="15" customHeight="1">
      <c r="A6" s="488"/>
      <c r="B6" s="483"/>
      <c r="C6" s="492" t="s">
        <v>1024</v>
      </c>
      <c r="D6" s="493"/>
      <c r="E6" s="116" t="s">
        <v>301</v>
      </c>
      <c r="F6" s="85" t="s">
        <v>67</v>
      </c>
      <c r="G6" s="259">
        <v>9</v>
      </c>
    </row>
    <row r="7" spans="1:11" s="64" customFormat="1" ht="15" customHeight="1">
      <c r="A7" s="488"/>
      <c r="B7" s="492" t="s">
        <v>106</v>
      </c>
      <c r="C7" s="504"/>
      <c r="D7" s="505"/>
      <c r="E7" s="396" t="s">
        <v>290</v>
      </c>
      <c r="F7" s="85" t="s">
        <v>67</v>
      </c>
      <c r="G7" s="259">
        <v>0</v>
      </c>
      <c r="K7" s="64" t="str">
        <f>IF(SUM(G3:G21)=0,"OK",IF(AND('1.1'!G10-'1.1'!G11+1='1.3_1.4'!G3+'1.3_1.4'!G7,'1.1'!G15+'1.1'!G16-'1.1'!G17+'1.1'!G18-'1.1'!G19='1.3_1.4'!G8+'1.3_1.4'!G12,'1.1'!G22-1&gt;='1.3_1.4'!G13+'1.3_1.4'!G17,'1.1'!G22-'1.1'!G23-1&lt;='1.3_1.4'!G19+'1.3_1.4'!G20),"OK",IF('1.1'!G10-'1.1'!G11+1='1.3_1.4'!G3+'1.3_1.4'!G7,IF('1.1'!G15+'1.1'!G16-'1.1'!G17+'1.1'!G18-'1.1'!G19='1.3_1.4'!G8+'1.3_1.4'!G12,IF('1.1'!G22-1&gt;='1.3_1.4'!G13+'1.3_1.4'!G17,IF('1.1'!G22-'1.1'!G23-1&lt;='1.3_1.4'!G19+'1.3_1.4'!G20,"OK","Pārbaudi tabulā 1.1 G22, G23, tabulā 1.3 G21, G22"),"Pārbaudi tabulā 1.1 G22, tabulā 1.3 G15,G19"),"Pārbaudi tabulā 1.1 G15, G16, G17, G18, G19, tabulā 1.3 G4, G13"),"Pārbaudi tabuā 1.1 G10, G11, tabulā 1.3 G3, G7")))</f>
        <v>Pārbaudi tabulā 1.1 G22, G23, tabulā 1.3 G21, G22</v>
      </c>
    </row>
    <row r="8" spans="1:7" s="64" customFormat="1" ht="36" customHeight="1">
      <c r="A8" s="477" t="s">
        <v>112</v>
      </c>
      <c r="B8" s="494" t="s">
        <v>1022</v>
      </c>
      <c r="C8" s="495"/>
      <c r="D8" s="496"/>
      <c r="E8" s="397" t="s">
        <v>291</v>
      </c>
      <c r="F8" s="85" t="s">
        <v>67</v>
      </c>
      <c r="G8" s="260">
        <f>G9+G10+G11</f>
        <v>8</v>
      </c>
    </row>
    <row r="9" spans="1:7" s="64" customFormat="1" ht="12.75">
      <c r="A9" s="479"/>
      <c r="B9" s="482" t="s">
        <v>105</v>
      </c>
      <c r="C9" s="492" t="s">
        <v>960</v>
      </c>
      <c r="D9" s="493"/>
      <c r="E9" s="282" t="s">
        <v>302</v>
      </c>
      <c r="F9" s="85" t="s">
        <v>67</v>
      </c>
      <c r="G9" s="259">
        <v>5</v>
      </c>
    </row>
    <row r="10" spans="1:7" s="64" customFormat="1" ht="12.75">
      <c r="A10" s="479"/>
      <c r="B10" s="482"/>
      <c r="C10" s="492" t="s">
        <v>961</v>
      </c>
      <c r="D10" s="493"/>
      <c r="E10" s="282" t="s">
        <v>306</v>
      </c>
      <c r="F10" s="85" t="s">
        <v>67</v>
      </c>
      <c r="G10" s="259">
        <v>1</v>
      </c>
    </row>
    <row r="11" spans="1:7" s="64" customFormat="1" ht="12.75">
      <c r="A11" s="479"/>
      <c r="B11" s="483"/>
      <c r="C11" s="492" t="s">
        <v>962</v>
      </c>
      <c r="D11" s="493"/>
      <c r="E11" s="116" t="s">
        <v>307</v>
      </c>
      <c r="F11" s="85" t="s">
        <v>67</v>
      </c>
      <c r="G11" s="259">
        <v>2</v>
      </c>
    </row>
    <row r="12" spans="1:7" s="64" customFormat="1" ht="12.75">
      <c r="A12" s="479"/>
      <c r="B12" s="500" t="s">
        <v>106</v>
      </c>
      <c r="C12" s="501"/>
      <c r="D12" s="502"/>
      <c r="E12" s="105" t="s">
        <v>292</v>
      </c>
      <c r="F12" s="55" t="s">
        <v>67</v>
      </c>
      <c r="G12" s="297">
        <v>0</v>
      </c>
    </row>
    <row r="13" spans="1:7" s="64" customFormat="1" ht="12.75">
      <c r="A13" s="464" t="s">
        <v>113</v>
      </c>
      <c r="B13" s="507" t="s">
        <v>104</v>
      </c>
      <c r="C13" s="508"/>
      <c r="D13" s="509"/>
      <c r="E13" s="106" t="s">
        <v>293</v>
      </c>
      <c r="F13" s="55" t="s">
        <v>67</v>
      </c>
      <c r="G13" s="117">
        <f>G14+G15+G16</f>
        <v>5</v>
      </c>
    </row>
    <row r="14" spans="1:7" s="64" customFormat="1" ht="12.75">
      <c r="A14" s="488"/>
      <c r="B14" s="466" t="s">
        <v>105</v>
      </c>
      <c r="C14" s="500" t="s">
        <v>109</v>
      </c>
      <c r="D14" s="503"/>
      <c r="E14" s="91" t="s">
        <v>303</v>
      </c>
      <c r="F14" s="55" t="s">
        <v>67</v>
      </c>
      <c r="G14" s="137">
        <v>1</v>
      </c>
    </row>
    <row r="15" spans="1:7" s="64" customFormat="1" ht="12.75">
      <c r="A15" s="488"/>
      <c r="B15" s="466"/>
      <c r="C15" s="500" t="s">
        <v>110</v>
      </c>
      <c r="D15" s="503"/>
      <c r="E15" s="91" t="s">
        <v>304</v>
      </c>
      <c r="F15" s="55" t="s">
        <v>67</v>
      </c>
      <c r="G15" s="137"/>
    </row>
    <row r="16" spans="1:7" s="64" customFormat="1" ht="12.75">
      <c r="A16" s="488"/>
      <c r="B16" s="468"/>
      <c r="C16" s="500" t="s">
        <v>111</v>
      </c>
      <c r="D16" s="503"/>
      <c r="E16" s="96" t="s">
        <v>305</v>
      </c>
      <c r="F16" s="55" t="s">
        <v>67</v>
      </c>
      <c r="G16" s="137">
        <v>4</v>
      </c>
    </row>
    <row r="17" spans="1:7" s="64" customFormat="1" ht="12.75">
      <c r="A17" s="488"/>
      <c r="B17" s="500" t="s">
        <v>106</v>
      </c>
      <c r="C17" s="501"/>
      <c r="D17" s="502"/>
      <c r="E17" s="105" t="s">
        <v>294</v>
      </c>
      <c r="F17" s="55" t="s">
        <v>67</v>
      </c>
      <c r="G17" s="137">
        <v>0</v>
      </c>
    </row>
    <row r="18" spans="1:8" s="64" customFormat="1" ht="30" customHeight="1">
      <c r="A18" s="488"/>
      <c r="B18" s="500" t="s">
        <v>107</v>
      </c>
      <c r="C18" s="506"/>
      <c r="D18" s="502"/>
      <c r="E18" s="105" t="s">
        <v>295</v>
      </c>
      <c r="F18" s="55" t="s">
        <v>67</v>
      </c>
      <c r="G18" s="137">
        <v>0</v>
      </c>
      <c r="H18" s="179" t="str">
        <f>IF(G18&lt;=G17,"OK","Pārskata gadā aprūpētāju kopējais skaits, kam nav paaugstināta kvalifikācija, ir mazāks kā aprūpētāju skaits, kam kvalifikācija paaugstināta pēdējo triju gadu laikā!")</f>
        <v>OK</v>
      </c>
    </row>
    <row r="19" spans="1:7" s="64" customFormat="1" ht="12.75">
      <c r="A19" s="464" t="s">
        <v>114</v>
      </c>
      <c r="B19" s="507" t="s">
        <v>104</v>
      </c>
      <c r="C19" s="508"/>
      <c r="D19" s="502"/>
      <c r="E19" s="105" t="s">
        <v>296</v>
      </c>
      <c r="F19" s="55" t="s">
        <v>67</v>
      </c>
      <c r="G19" s="137">
        <v>3</v>
      </c>
    </row>
    <row r="20" spans="1:7" s="64" customFormat="1" ht="12.75">
      <c r="A20" s="488"/>
      <c r="B20" s="500" t="s">
        <v>106</v>
      </c>
      <c r="C20" s="501"/>
      <c r="D20" s="502"/>
      <c r="E20" s="105" t="s">
        <v>297</v>
      </c>
      <c r="F20" s="55" t="s">
        <v>67</v>
      </c>
      <c r="G20" s="137">
        <v>0</v>
      </c>
    </row>
    <row r="21" spans="1:8" s="64" customFormat="1" ht="32.25" customHeight="1" thickBot="1">
      <c r="A21" s="472"/>
      <c r="B21" s="497" t="s">
        <v>107</v>
      </c>
      <c r="C21" s="498"/>
      <c r="D21" s="499"/>
      <c r="E21" s="107" t="s">
        <v>298</v>
      </c>
      <c r="F21" s="68" t="s">
        <v>67</v>
      </c>
      <c r="G21" s="138">
        <v>0</v>
      </c>
      <c r="H21" s="179" t="str">
        <f>IF(G21&lt;=G20,"OK","Pārskata gadā pārējo darbinieku kopējais skaits, kuri strādā ar klientu, kam nav paaugstināta kvalifikācija, ir mazāks kā pārējo darbinieku skaits, kam kvalifikācija paaugstināta pēdējo triju gadu laikā!")</f>
        <v>OK</v>
      </c>
    </row>
    <row r="23" spans="1:7" ht="33" customHeight="1" thickBot="1">
      <c r="A23" s="510" t="s">
        <v>115</v>
      </c>
      <c r="B23" s="511"/>
      <c r="C23" s="511"/>
      <c r="D23" s="511"/>
      <c r="E23" s="511"/>
      <c r="F23" s="511"/>
      <c r="G23" s="511"/>
    </row>
    <row r="24" spans="1:8" ht="19.5" customHeight="1" thickBot="1">
      <c r="A24" s="484" t="s">
        <v>63</v>
      </c>
      <c r="B24" s="485"/>
      <c r="C24" s="485"/>
      <c r="D24" s="512"/>
      <c r="E24" s="88" t="s">
        <v>60</v>
      </c>
      <c r="F24" s="52" t="s">
        <v>61</v>
      </c>
      <c r="G24" s="53" t="s">
        <v>62</v>
      </c>
      <c r="H24" s="179"/>
    </row>
    <row r="25" spans="1:10" s="64" customFormat="1" ht="12.75">
      <c r="A25" s="487" t="s">
        <v>116</v>
      </c>
      <c r="B25" s="516" t="s">
        <v>117</v>
      </c>
      <c r="C25" s="517"/>
      <c r="D25" s="518"/>
      <c r="E25" s="100" t="s">
        <v>308</v>
      </c>
      <c r="F25" s="70" t="s">
        <v>67</v>
      </c>
      <c r="G25" s="136">
        <v>38</v>
      </c>
      <c r="H25" s="386" t="str">
        <f>IF(G25&lt;=SUM(G26:G34),IF(G25+G35='1.1'!G10-'1.1'!G11,"OK","Pārbaudiet ievadīto darbinieku skaitu"),"Pārbaudiet ievadīto darbinieku skaitu")</f>
        <v>OK</v>
      </c>
      <c r="I25" s="186"/>
      <c r="J25" s="232" t="b">
        <f>'1.1'!G10-'1.1'!G11='1.3_1.4'!G25+'1.3_1.4'!G35</f>
        <v>1</v>
      </c>
    </row>
    <row r="26" spans="1:10" s="64" customFormat="1" ht="12.75">
      <c r="A26" s="464"/>
      <c r="B26" s="466" t="s">
        <v>74</v>
      </c>
      <c r="C26" s="513" t="s">
        <v>966</v>
      </c>
      <c r="D26" s="85" t="s">
        <v>955</v>
      </c>
      <c r="E26" s="116" t="s">
        <v>310</v>
      </c>
      <c r="F26" s="85" t="s">
        <v>67</v>
      </c>
      <c r="G26" s="267">
        <v>0</v>
      </c>
      <c r="H26" s="386" t="str">
        <f>IF(G25=SUM(G26:G28),"OK",IF(AND(SUM(G26:G34)&gt;=G25,SUM(G26:G28)&lt;=G25),"OK","Pārbaudiet ievadīto darbinieku skaitu, kuri saņem šī veida atbalstu"))</f>
        <v>OK</v>
      </c>
      <c r="I26" s="389"/>
      <c r="J26" s="390" t="b">
        <f>'1.1'!G15='1.4_turp'!G3+'1.4_turp'!G13</f>
        <v>1</v>
      </c>
    </row>
    <row r="27" spans="1:10" s="64" customFormat="1" ht="25.5">
      <c r="A27" s="464"/>
      <c r="B27" s="466"/>
      <c r="C27" s="513"/>
      <c r="D27" s="85" t="s">
        <v>956</v>
      </c>
      <c r="E27" s="116" t="s">
        <v>311</v>
      </c>
      <c r="F27" s="85" t="s">
        <v>67</v>
      </c>
      <c r="G27" s="267">
        <v>0</v>
      </c>
      <c r="H27" s="228"/>
      <c r="I27" s="389"/>
      <c r="J27" s="390" t="b">
        <f>'1.1'!G16-'1.1'!G17='1.4_turp'!G14+'1.4_turp'!G24</f>
        <v>1</v>
      </c>
    </row>
    <row r="28" spans="1:10" s="64" customFormat="1" ht="25.5">
      <c r="A28" s="464"/>
      <c r="B28" s="466"/>
      <c r="C28" s="513"/>
      <c r="D28" s="85" t="s">
        <v>957</v>
      </c>
      <c r="E28" s="116" t="s">
        <v>312</v>
      </c>
      <c r="F28" s="85" t="s">
        <v>67</v>
      </c>
      <c r="G28" s="267">
        <v>0</v>
      </c>
      <c r="H28" s="228"/>
      <c r="I28" s="389"/>
      <c r="J28" s="390" t="b">
        <f>'1.1'!G18-'1.1'!G19='1.4_turp'!G25+'1.4_turp'!G35</f>
        <v>1</v>
      </c>
    </row>
    <row r="29" spans="1:10" s="64" customFormat="1" ht="15.75" customHeight="1">
      <c r="A29" s="464"/>
      <c r="B29" s="466"/>
      <c r="C29" s="513" t="s">
        <v>967</v>
      </c>
      <c r="D29" s="85" t="s">
        <v>955</v>
      </c>
      <c r="E29" s="116" t="s">
        <v>313</v>
      </c>
      <c r="F29" s="85" t="s">
        <v>67</v>
      </c>
      <c r="G29" s="267">
        <v>0</v>
      </c>
      <c r="H29" s="386" t="str">
        <f>IF(G25=SUM(G29:G31),"OK",IF(AND(SUM(G26:G34)&gt;=G25,SUM(G29:G31)&lt;=G25),"OK","Pārbaudiet ievadīto darbinieku skaitu, kuri saņem šī veida atbalstu"))</f>
        <v>OK</v>
      </c>
      <c r="I29" s="389"/>
      <c r="J29" s="378"/>
    </row>
    <row r="30" spans="1:10" s="64" customFormat="1" ht="25.5">
      <c r="A30" s="464"/>
      <c r="B30" s="466"/>
      <c r="C30" s="513"/>
      <c r="D30" s="85" t="s">
        <v>958</v>
      </c>
      <c r="E30" s="116" t="s">
        <v>314</v>
      </c>
      <c r="F30" s="85" t="s">
        <v>67</v>
      </c>
      <c r="G30" s="267">
        <v>33</v>
      </c>
      <c r="H30" s="228"/>
      <c r="I30" s="389"/>
      <c r="J30" s="378"/>
    </row>
    <row r="31" spans="1:10" s="64" customFormat="1" ht="25.5">
      <c r="A31" s="464"/>
      <c r="B31" s="466"/>
      <c r="C31" s="513"/>
      <c r="D31" s="85" t="s">
        <v>957</v>
      </c>
      <c r="E31" s="116" t="s">
        <v>315</v>
      </c>
      <c r="F31" s="85" t="s">
        <v>67</v>
      </c>
      <c r="G31" s="267">
        <v>0</v>
      </c>
      <c r="H31" s="228"/>
      <c r="I31" s="389"/>
      <c r="J31" s="378"/>
    </row>
    <row r="32" spans="1:10" s="64" customFormat="1" ht="12.75">
      <c r="A32" s="514"/>
      <c r="B32" s="525"/>
      <c r="C32" s="522" t="s">
        <v>968</v>
      </c>
      <c r="D32" s="85" t="s">
        <v>955</v>
      </c>
      <c r="E32" s="116" t="s">
        <v>963</v>
      </c>
      <c r="F32" s="85" t="s">
        <v>67</v>
      </c>
      <c r="G32" s="267">
        <v>0</v>
      </c>
      <c r="H32" s="386" t="str">
        <f>IF(G25=SUM(G32:G34),"OK",IF(AND(SUM(G26:G34)&gt;=G25,SUM(G32:G34)&lt;=G25),"OK","Pārbaudiet ievadīto darbinieku skaitu, kuri saņem šī veida atbalstu"))</f>
        <v>OK</v>
      </c>
      <c r="I32" s="389"/>
      <c r="J32" s="378"/>
    </row>
    <row r="33" spans="1:10" s="64" customFormat="1" ht="22.5" customHeight="1">
      <c r="A33" s="514"/>
      <c r="B33" s="525"/>
      <c r="C33" s="523"/>
      <c r="D33" s="85" t="s">
        <v>956</v>
      </c>
      <c r="E33" s="116" t="s">
        <v>964</v>
      </c>
      <c r="F33" s="85" t="s">
        <v>67</v>
      </c>
      <c r="G33" s="267">
        <v>0</v>
      </c>
      <c r="H33" s="378"/>
      <c r="I33" s="389"/>
      <c r="J33" s="378"/>
    </row>
    <row r="34" spans="1:10" s="64" customFormat="1" ht="29.25" customHeight="1">
      <c r="A34" s="514"/>
      <c r="B34" s="525"/>
      <c r="C34" s="524"/>
      <c r="D34" s="85" t="s">
        <v>957</v>
      </c>
      <c r="E34" s="116" t="s">
        <v>965</v>
      </c>
      <c r="F34" s="85" t="s">
        <v>67</v>
      </c>
      <c r="G34" s="267">
        <v>5</v>
      </c>
      <c r="H34" s="378"/>
      <c r="I34" s="389"/>
      <c r="J34" s="378"/>
    </row>
    <row r="35" spans="1:9" s="64" customFormat="1" ht="13.5" thickBot="1">
      <c r="A35" s="515"/>
      <c r="B35" s="519" t="s">
        <v>118</v>
      </c>
      <c r="C35" s="520"/>
      <c r="D35" s="521"/>
      <c r="E35" s="101" t="s">
        <v>309</v>
      </c>
      <c r="F35" s="68" t="s">
        <v>67</v>
      </c>
      <c r="G35" s="267">
        <v>0</v>
      </c>
      <c r="I35" s="186"/>
    </row>
    <row r="36" ht="12.75">
      <c r="A36" s="57"/>
    </row>
  </sheetData>
  <sheetProtection password="CE88" sheet="1" objects="1" scenarios="1"/>
  <mergeCells count="37">
    <mergeCell ref="A23:G23"/>
    <mergeCell ref="A24:D24"/>
    <mergeCell ref="C26:C28"/>
    <mergeCell ref="C29:C31"/>
    <mergeCell ref="A25:A35"/>
    <mergeCell ref="B25:D25"/>
    <mergeCell ref="B35:D35"/>
    <mergeCell ref="C32:C34"/>
    <mergeCell ref="B26:B34"/>
    <mergeCell ref="B7:D7"/>
    <mergeCell ref="B14:B16"/>
    <mergeCell ref="A19:A21"/>
    <mergeCell ref="A13:A18"/>
    <mergeCell ref="C16:D16"/>
    <mergeCell ref="B17:D17"/>
    <mergeCell ref="B18:D18"/>
    <mergeCell ref="B13:D13"/>
    <mergeCell ref="C14:D14"/>
    <mergeCell ref="B19:D19"/>
    <mergeCell ref="B21:D21"/>
    <mergeCell ref="C9:D9"/>
    <mergeCell ref="C10:D10"/>
    <mergeCell ref="C11:D11"/>
    <mergeCell ref="B12:D12"/>
    <mergeCell ref="C15:D15"/>
    <mergeCell ref="B20:D20"/>
    <mergeCell ref="B9:B11"/>
    <mergeCell ref="A8:A12"/>
    <mergeCell ref="A1:G1"/>
    <mergeCell ref="B4:B6"/>
    <mergeCell ref="A2:D2"/>
    <mergeCell ref="A3:A7"/>
    <mergeCell ref="B3:D3"/>
    <mergeCell ref="C4:D4"/>
    <mergeCell ref="C5:D5"/>
    <mergeCell ref="C6:D6"/>
    <mergeCell ref="B8:D8"/>
  </mergeCells>
  <printOptions/>
  <pageMargins left="0.75" right="0.75" top="0.81" bottom="1" header="0.5" footer="0.5"/>
  <pageSetup horizontalDpi="1200" verticalDpi="1200" orientation="portrait" paperSize="9"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38"/>
  <sheetViews>
    <sheetView zoomScalePageLayoutView="0" workbookViewId="0" topLeftCell="A1">
      <selection activeCell="J15" sqref="J15"/>
    </sheetView>
  </sheetViews>
  <sheetFormatPr defaultColWidth="9.140625" defaultRowHeight="12.75"/>
  <cols>
    <col min="1" max="1" width="11.421875" style="307" customWidth="1"/>
    <col min="2" max="2" width="6.8515625" style="307" customWidth="1"/>
    <col min="3" max="3" width="10.00390625" style="307" customWidth="1"/>
    <col min="4" max="4" width="21.7109375" style="307" customWidth="1"/>
    <col min="5" max="5" width="12.00390625" style="316" customWidth="1"/>
    <col min="6" max="6" width="12.8515625" style="307" customWidth="1"/>
    <col min="7" max="7" width="11.421875" style="307" customWidth="1"/>
    <col min="8" max="16384" width="9.140625" style="307" customWidth="1"/>
  </cols>
  <sheetData>
    <row r="1" spans="1:7" ht="32.25" customHeight="1" thickBot="1">
      <c r="A1" s="526" t="s">
        <v>224</v>
      </c>
      <c r="B1" s="527"/>
      <c r="C1" s="527"/>
      <c r="D1" s="527"/>
      <c r="E1" s="527"/>
      <c r="F1" s="527"/>
      <c r="G1" s="527"/>
    </row>
    <row r="2" spans="1:7" ht="15.75" thickBot="1">
      <c r="A2" s="528" t="s">
        <v>63</v>
      </c>
      <c r="B2" s="529"/>
      <c r="C2" s="529"/>
      <c r="D2" s="530"/>
      <c r="E2" s="385" t="s">
        <v>60</v>
      </c>
      <c r="F2" s="328" t="s">
        <v>61</v>
      </c>
      <c r="G2" s="329" t="s">
        <v>62</v>
      </c>
    </row>
    <row r="3" spans="1:8" s="228" customFormat="1" ht="13.5" thickBot="1">
      <c r="A3" s="531" t="s">
        <v>119</v>
      </c>
      <c r="B3" s="533" t="s">
        <v>117</v>
      </c>
      <c r="C3" s="533"/>
      <c r="D3" s="533"/>
      <c r="E3" s="353" t="s">
        <v>316</v>
      </c>
      <c r="F3" s="289" t="s">
        <v>67</v>
      </c>
      <c r="G3" s="391">
        <v>3</v>
      </c>
      <c r="H3" s="386" t="str">
        <f>IF(G3&lt;=SUM(G4:G12),IF(G3+G13='1.1'!G15,"OK","Pārbaudiet ievadīto darbinieku skaitu"),"Pārbaudiet ievadīto darbinieku skaitu")</f>
        <v>OK</v>
      </c>
    </row>
    <row r="4" spans="1:8" s="228" customFormat="1" ht="15" customHeight="1" thickBot="1">
      <c r="A4" s="532"/>
      <c r="B4" s="536" t="s">
        <v>74</v>
      </c>
      <c r="C4" s="534" t="s">
        <v>966</v>
      </c>
      <c r="D4" s="225" t="s">
        <v>955</v>
      </c>
      <c r="E4" s="366" t="s">
        <v>322</v>
      </c>
      <c r="F4" s="225" t="s">
        <v>67</v>
      </c>
      <c r="G4" s="259">
        <v>0</v>
      </c>
      <c r="H4" s="386" t="str">
        <f>IF(G3=SUM(G4:G6),"OK",IF(AND(SUM(G4:G12)&gt;=G3,SUM(G4:G6)&lt;=G3),"OK","Pārbaudiet ievadīto darbinieku skaitu, kuri saņem šī veida atbalstu"))</f>
        <v>OK</v>
      </c>
    </row>
    <row r="5" spans="1:7" s="228" customFormat="1" ht="13.5" thickBot="1">
      <c r="A5" s="532"/>
      <c r="B5" s="537"/>
      <c r="C5" s="534"/>
      <c r="D5" s="225" t="s">
        <v>956</v>
      </c>
      <c r="E5" s="366" t="s">
        <v>323</v>
      </c>
      <c r="F5" s="225" t="s">
        <v>67</v>
      </c>
      <c r="G5" s="259">
        <v>0</v>
      </c>
    </row>
    <row r="6" spans="1:7" s="228" customFormat="1" ht="13.5" thickBot="1">
      <c r="A6" s="532"/>
      <c r="B6" s="537"/>
      <c r="C6" s="534"/>
      <c r="D6" s="225" t="s">
        <v>957</v>
      </c>
      <c r="E6" s="366" t="s">
        <v>324</v>
      </c>
      <c r="F6" s="225" t="s">
        <v>67</v>
      </c>
      <c r="G6" s="259">
        <v>0</v>
      </c>
    </row>
    <row r="7" spans="1:8" s="228" customFormat="1" ht="13.5" customHeight="1" thickBot="1">
      <c r="A7" s="532"/>
      <c r="B7" s="537"/>
      <c r="C7" s="534" t="s">
        <v>967</v>
      </c>
      <c r="D7" s="225" t="s">
        <v>955</v>
      </c>
      <c r="E7" s="366" t="s">
        <v>325</v>
      </c>
      <c r="F7" s="225" t="s">
        <v>67</v>
      </c>
      <c r="G7" s="259">
        <v>0</v>
      </c>
      <c r="H7" s="386" t="str">
        <f>IF(G3=SUM(G7:G9),"OK",IF(AND(SUM(G4:G12)&gt;=G3,SUM(G7:G9)&lt;=G3),"OK","Pārbaudiet ievadīto darbinieku skaitu, kuri saņem šī veida atbalstu"))</f>
        <v>OK</v>
      </c>
    </row>
    <row r="8" spans="1:7" s="228" customFormat="1" ht="16.5" customHeight="1" thickBot="1">
      <c r="A8" s="532"/>
      <c r="B8" s="537"/>
      <c r="C8" s="534"/>
      <c r="D8" s="225" t="s">
        <v>958</v>
      </c>
      <c r="E8" s="366" t="s">
        <v>326</v>
      </c>
      <c r="F8" s="225" t="s">
        <v>67</v>
      </c>
      <c r="G8" s="259">
        <v>1</v>
      </c>
    </row>
    <row r="9" spans="1:7" s="228" customFormat="1" ht="15" customHeight="1" thickBot="1">
      <c r="A9" s="532"/>
      <c r="B9" s="537"/>
      <c r="C9" s="534"/>
      <c r="D9" s="225" t="s">
        <v>957</v>
      </c>
      <c r="E9" s="366" t="s">
        <v>327</v>
      </c>
      <c r="F9" s="225" t="s">
        <v>67</v>
      </c>
      <c r="G9" s="259">
        <v>2</v>
      </c>
    </row>
    <row r="10" spans="1:8" s="228" customFormat="1" ht="26.25" customHeight="1" thickBot="1">
      <c r="A10" s="532"/>
      <c r="B10" s="538"/>
      <c r="C10" s="540" t="s">
        <v>968</v>
      </c>
      <c r="D10" s="225" t="s">
        <v>955</v>
      </c>
      <c r="E10" s="366" t="s">
        <v>969</v>
      </c>
      <c r="F10" s="225" t="s">
        <v>67</v>
      </c>
      <c r="G10" s="259">
        <v>0</v>
      </c>
      <c r="H10" s="386" t="str">
        <f>IF(G3=SUM(G10:G12),"OK",IF(AND(SUM(G4:G12)&gt;=G3,SUM(G10:G12)&lt;=G3),"OK","Pārbaudiet ievadīto darbinieku skaitu, kuri saņem šī veida atbalstu"))</f>
        <v>OK</v>
      </c>
    </row>
    <row r="11" spans="1:7" s="228" customFormat="1" ht="15" customHeight="1" thickBot="1">
      <c r="A11" s="532"/>
      <c r="B11" s="538"/>
      <c r="C11" s="541"/>
      <c r="D11" s="225" t="s">
        <v>956</v>
      </c>
      <c r="E11" s="366" t="s">
        <v>970</v>
      </c>
      <c r="F11" s="225" t="s">
        <v>67</v>
      </c>
      <c r="G11" s="259">
        <v>0</v>
      </c>
    </row>
    <row r="12" spans="1:7" s="228" customFormat="1" ht="15" customHeight="1">
      <c r="A12" s="532"/>
      <c r="B12" s="539"/>
      <c r="C12" s="542"/>
      <c r="D12" s="225" t="s">
        <v>957</v>
      </c>
      <c r="E12" s="366" t="s">
        <v>971</v>
      </c>
      <c r="F12" s="225" t="s">
        <v>67</v>
      </c>
      <c r="G12" s="259">
        <v>0</v>
      </c>
    </row>
    <row r="13" spans="1:7" s="228" customFormat="1" ht="12.75">
      <c r="A13" s="532"/>
      <c r="B13" s="535" t="s">
        <v>118</v>
      </c>
      <c r="C13" s="535"/>
      <c r="D13" s="535"/>
      <c r="E13" s="322" t="s">
        <v>317</v>
      </c>
      <c r="F13" s="225" t="s">
        <v>67</v>
      </c>
      <c r="G13" s="259">
        <v>0</v>
      </c>
    </row>
    <row r="14" spans="1:8" s="228" customFormat="1" ht="12.75">
      <c r="A14" s="532" t="s">
        <v>120</v>
      </c>
      <c r="B14" s="535" t="s">
        <v>117</v>
      </c>
      <c r="C14" s="535"/>
      <c r="D14" s="535"/>
      <c r="E14" s="322" t="s">
        <v>318</v>
      </c>
      <c r="F14" s="225" t="s">
        <v>67</v>
      </c>
      <c r="G14" s="259">
        <v>1</v>
      </c>
      <c r="H14" s="386" t="str">
        <f>IF(G14&lt;=SUM(G15:G23),IF(G14+G24='1.1'!G16-'1.1'!G17,"OK","Pārbaudiet ievadīto darbinieku skaitu"),"Pārbaudiet ievadīto darbinieku skaitu")</f>
        <v>OK</v>
      </c>
    </row>
    <row r="15" spans="1:8" s="228" customFormat="1" ht="12.75" customHeight="1">
      <c r="A15" s="532"/>
      <c r="B15" s="536" t="s">
        <v>74</v>
      </c>
      <c r="C15" s="534" t="s">
        <v>966</v>
      </c>
      <c r="D15" s="225" t="s">
        <v>955</v>
      </c>
      <c r="E15" s="273" t="s">
        <v>328</v>
      </c>
      <c r="F15" s="225" t="s">
        <v>67</v>
      </c>
      <c r="G15" s="259">
        <v>0</v>
      </c>
      <c r="H15" s="386" t="str">
        <f>IF(G14=SUM(G15:G17),"OK",IF(AND(SUM(G15:G23)&gt;=G14,SUM(G15:G17)&lt;=G14),"OK","Pārbaudiet ievadīto darbinieku skaitu, kuri saņem šī veida atbalstu"))</f>
        <v>OK</v>
      </c>
    </row>
    <row r="16" spans="1:7" s="228" customFormat="1" ht="12.75">
      <c r="A16" s="532"/>
      <c r="B16" s="537"/>
      <c r="C16" s="534"/>
      <c r="D16" s="225" t="s">
        <v>956</v>
      </c>
      <c r="E16" s="273" t="s">
        <v>329</v>
      </c>
      <c r="F16" s="225" t="s">
        <v>67</v>
      </c>
      <c r="G16" s="259">
        <v>0</v>
      </c>
    </row>
    <row r="17" spans="1:7" s="228" customFormat="1" ht="12.75">
      <c r="A17" s="532"/>
      <c r="B17" s="537"/>
      <c r="C17" s="534"/>
      <c r="D17" s="225" t="s">
        <v>957</v>
      </c>
      <c r="E17" s="273" t="s">
        <v>330</v>
      </c>
      <c r="F17" s="225" t="s">
        <v>67</v>
      </c>
      <c r="G17" s="259">
        <v>0</v>
      </c>
    </row>
    <row r="18" spans="1:8" s="228" customFormat="1" ht="12.75" customHeight="1">
      <c r="A18" s="532"/>
      <c r="B18" s="537"/>
      <c r="C18" s="534" t="s">
        <v>967</v>
      </c>
      <c r="D18" s="225" t="s">
        <v>955</v>
      </c>
      <c r="E18" s="273" t="s">
        <v>331</v>
      </c>
      <c r="F18" s="225" t="s">
        <v>67</v>
      </c>
      <c r="G18" s="259">
        <v>0</v>
      </c>
      <c r="H18" s="386" t="str">
        <f>IF(G14=SUM(G18:G20),"OK",IF(AND(SUM(G15:G23)&gt;=G14,SUM(G18:G20)&lt;=G14),"OK","Pārbaudiet ievadīto darbinieku skaitu, kuri saņem šī veida atbalstu"))</f>
        <v>OK</v>
      </c>
    </row>
    <row r="19" spans="1:7" s="228" customFormat="1" ht="13.5" customHeight="1">
      <c r="A19" s="532"/>
      <c r="B19" s="537"/>
      <c r="C19" s="534"/>
      <c r="D19" s="225" t="s">
        <v>958</v>
      </c>
      <c r="E19" s="273" t="s">
        <v>332</v>
      </c>
      <c r="F19" s="225" t="s">
        <v>67</v>
      </c>
      <c r="G19" s="259">
        <v>1</v>
      </c>
    </row>
    <row r="20" spans="1:7" s="228" customFormat="1" ht="14.25" customHeight="1">
      <c r="A20" s="532"/>
      <c r="B20" s="537"/>
      <c r="C20" s="534"/>
      <c r="D20" s="225" t="s">
        <v>957</v>
      </c>
      <c r="E20" s="273" t="s">
        <v>333</v>
      </c>
      <c r="F20" s="225" t="s">
        <v>67</v>
      </c>
      <c r="G20" s="259">
        <v>0</v>
      </c>
    </row>
    <row r="21" spans="1:8" s="228" customFormat="1" ht="14.25" customHeight="1">
      <c r="A21" s="532"/>
      <c r="B21" s="538"/>
      <c r="C21" s="540" t="s">
        <v>968</v>
      </c>
      <c r="D21" s="225" t="s">
        <v>955</v>
      </c>
      <c r="E21" s="273" t="s">
        <v>972</v>
      </c>
      <c r="F21" s="225" t="s">
        <v>67</v>
      </c>
      <c r="G21" s="259">
        <v>0</v>
      </c>
      <c r="H21" s="386" t="str">
        <f>IF(G14=SUM(G21:G23),"OK",IF(AND(SUM(G15:G23)&gt;=G14,SUM(G21:G23)&lt;=G14),"OK","Pārbaudiet ievadīto darbinieku skaitu, kuri saņem šī veida atbalstu"))</f>
        <v>OK</v>
      </c>
    </row>
    <row r="22" spans="1:7" s="228" customFormat="1" ht="14.25" customHeight="1">
      <c r="A22" s="532"/>
      <c r="B22" s="538"/>
      <c r="C22" s="541"/>
      <c r="D22" s="225" t="s">
        <v>956</v>
      </c>
      <c r="E22" s="273" t="s">
        <v>973</v>
      </c>
      <c r="F22" s="225" t="s">
        <v>67</v>
      </c>
      <c r="G22" s="259">
        <v>0</v>
      </c>
    </row>
    <row r="23" spans="1:7" s="228" customFormat="1" ht="24" customHeight="1">
      <c r="A23" s="532"/>
      <c r="B23" s="539"/>
      <c r="C23" s="542"/>
      <c r="D23" s="225" t="s">
        <v>957</v>
      </c>
      <c r="E23" s="273" t="s">
        <v>974</v>
      </c>
      <c r="F23" s="225" t="s">
        <v>67</v>
      </c>
      <c r="G23" s="259">
        <v>0</v>
      </c>
    </row>
    <row r="24" spans="1:7" s="228" customFormat="1" ht="12.75">
      <c r="A24" s="532"/>
      <c r="B24" s="535" t="s">
        <v>118</v>
      </c>
      <c r="C24" s="535"/>
      <c r="D24" s="535"/>
      <c r="E24" s="322" t="s">
        <v>319</v>
      </c>
      <c r="F24" s="225" t="s">
        <v>67</v>
      </c>
      <c r="G24" s="259">
        <v>0</v>
      </c>
    </row>
    <row r="25" spans="1:8" s="228" customFormat="1" ht="12.75">
      <c r="A25" s="532" t="s">
        <v>121</v>
      </c>
      <c r="B25" s="535" t="s">
        <v>117</v>
      </c>
      <c r="C25" s="535"/>
      <c r="D25" s="535"/>
      <c r="E25" s="322" t="s">
        <v>320</v>
      </c>
      <c r="F25" s="225" t="s">
        <v>67</v>
      </c>
      <c r="G25" s="259">
        <v>4</v>
      </c>
      <c r="H25" s="386" t="str">
        <f>IF(G25&lt;=SUM(G26:G34),IF(G25+G35='1.1'!G18-'1.1'!G19,"OK","Pārbaudiet ievadīto darbinieku skaitu"),"Pārbaudiet ievadīto darbinieku skaitu")</f>
        <v>OK</v>
      </c>
    </row>
    <row r="26" spans="1:8" s="228" customFormat="1" ht="12.75" customHeight="1">
      <c r="A26" s="532"/>
      <c r="B26" s="536" t="s">
        <v>74</v>
      </c>
      <c r="C26" s="534" t="s">
        <v>966</v>
      </c>
      <c r="D26" s="225" t="s">
        <v>955</v>
      </c>
      <c r="E26" s="273" t="s">
        <v>334</v>
      </c>
      <c r="F26" s="225" t="s">
        <v>67</v>
      </c>
      <c r="G26" s="259">
        <v>0</v>
      </c>
      <c r="H26" s="386" t="str">
        <f>IF(G25=SUM(G26:G28),"OK",IF(AND(SUM(G26:G34)&gt;=G25,SUM(G26:G28)&lt;=G25),"OK","Pārbaudiet ievadīto darbinieku skaitu, kuri saņem šī veida atbalstu"))</f>
        <v>OK</v>
      </c>
    </row>
    <row r="27" spans="1:7" s="228" customFormat="1" ht="12.75">
      <c r="A27" s="532"/>
      <c r="B27" s="537"/>
      <c r="C27" s="534"/>
      <c r="D27" s="225" t="s">
        <v>956</v>
      </c>
      <c r="E27" s="273" t="s">
        <v>335</v>
      </c>
      <c r="F27" s="225" t="s">
        <v>67</v>
      </c>
      <c r="G27" s="259">
        <v>0</v>
      </c>
    </row>
    <row r="28" spans="1:7" s="228" customFormat="1" ht="12.75">
      <c r="A28" s="532"/>
      <c r="B28" s="537"/>
      <c r="C28" s="534"/>
      <c r="D28" s="225" t="s">
        <v>957</v>
      </c>
      <c r="E28" s="273" t="s">
        <v>336</v>
      </c>
      <c r="F28" s="225" t="s">
        <v>67</v>
      </c>
      <c r="G28" s="259">
        <v>0</v>
      </c>
    </row>
    <row r="29" spans="1:8" s="228" customFormat="1" ht="12.75" customHeight="1">
      <c r="A29" s="532"/>
      <c r="B29" s="537"/>
      <c r="C29" s="534" t="s">
        <v>967</v>
      </c>
      <c r="D29" s="225" t="s">
        <v>955</v>
      </c>
      <c r="E29" s="273" t="s">
        <v>337</v>
      </c>
      <c r="F29" s="225" t="s">
        <v>67</v>
      </c>
      <c r="G29" s="259">
        <v>0</v>
      </c>
      <c r="H29" s="386" t="str">
        <f>IF(G25=SUM(G29:G31),"OK",IF(AND(SUM(G26:G34)&gt;=G25,SUM(G29:G31)&lt;=G25),"OK","Pārbaudiet ievadīto darbinieku skaitu, kuri saņem šī veida atbalstu"))</f>
        <v>OK</v>
      </c>
    </row>
    <row r="30" spans="1:7" s="228" customFormat="1" ht="13.5" customHeight="1">
      <c r="A30" s="532"/>
      <c r="B30" s="537"/>
      <c r="C30" s="534"/>
      <c r="D30" s="225" t="s">
        <v>958</v>
      </c>
      <c r="E30" s="273" t="s">
        <v>338</v>
      </c>
      <c r="F30" s="225" t="s">
        <v>67</v>
      </c>
      <c r="G30" s="259">
        <v>4</v>
      </c>
    </row>
    <row r="31" spans="1:7" s="228" customFormat="1" ht="14.25" customHeight="1">
      <c r="A31" s="532"/>
      <c r="B31" s="537"/>
      <c r="C31" s="534"/>
      <c r="D31" s="225" t="s">
        <v>957</v>
      </c>
      <c r="E31" s="273" t="s">
        <v>339</v>
      </c>
      <c r="F31" s="225" t="s">
        <v>67</v>
      </c>
      <c r="G31" s="259">
        <v>0</v>
      </c>
    </row>
    <row r="32" spans="1:8" s="228" customFormat="1" ht="14.25" customHeight="1">
      <c r="A32" s="544"/>
      <c r="B32" s="538"/>
      <c r="C32" s="540" t="s">
        <v>968</v>
      </c>
      <c r="D32" s="225" t="s">
        <v>955</v>
      </c>
      <c r="E32" s="273" t="s">
        <v>975</v>
      </c>
      <c r="F32" s="225" t="s">
        <v>67</v>
      </c>
      <c r="G32" s="259">
        <v>0</v>
      </c>
      <c r="H32" s="386" t="str">
        <f>IF(G25=SUM(G32:G34),"OK",IF(AND(SUM(G26:G34)&gt;=G25,SUM(G32:G34)&lt;=G25),"OK","Pārbaudiet ievadīto darbinieku skaitu, kuri saņem šī veida atbalstu"))</f>
        <v>OK</v>
      </c>
    </row>
    <row r="33" spans="1:7" s="228" customFormat="1" ht="14.25" customHeight="1">
      <c r="A33" s="544"/>
      <c r="B33" s="538"/>
      <c r="C33" s="541"/>
      <c r="D33" s="225" t="s">
        <v>956</v>
      </c>
      <c r="E33" s="273" t="s">
        <v>976</v>
      </c>
      <c r="F33" s="225" t="s">
        <v>67</v>
      </c>
      <c r="G33" s="259">
        <v>0</v>
      </c>
    </row>
    <row r="34" spans="1:7" s="228" customFormat="1" ht="21" customHeight="1">
      <c r="A34" s="544"/>
      <c r="B34" s="539"/>
      <c r="C34" s="542"/>
      <c r="D34" s="225" t="s">
        <v>957</v>
      </c>
      <c r="E34" s="273" t="s">
        <v>977</v>
      </c>
      <c r="F34" s="225" t="s">
        <v>67</v>
      </c>
      <c r="G34" s="259">
        <v>0</v>
      </c>
    </row>
    <row r="35" spans="1:7" s="228" customFormat="1" ht="13.5" thickBot="1">
      <c r="A35" s="545"/>
      <c r="B35" s="543" t="s">
        <v>118</v>
      </c>
      <c r="C35" s="543"/>
      <c r="D35" s="543"/>
      <c r="E35" s="352" t="s">
        <v>321</v>
      </c>
      <c r="F35" s="279" t="s">
        <v>67</v>
      </c>
      <c r="G35" s="261">
        <v>0</v>
      </c>
    </row>
    <row r="37" ht="12.75">
      <c r="E37" s="307"/>
    </row>
    <row r="38" ht="12.75">
      <c r="E38" s="307"/>
    </row>
    <row r="39" s="228" customFormat="1" ht="12.75"/>
    <row r="40" s="228" customFormat="1" ht="30.75" customHeight="1"/>
    <row r="41" s="228" customFormat="1" ht="27.75" customHeight="1"/>
    <row r="42" s="228" customFormat="1" ht="30" customHeight="1"/>
    <row r="43" s="228" customFormat="1" ht="13.5" customHeight="1"/>
    <row r="44" s="228" customFormat="1" ht="12.75"/>
    <row r="45" s="228" customFormat="1" ht="12.75"/>
    <row r="46" s="228" customFormat="1" ht="30" customHeight="1"/>
    <row r="47" s="228" customFormat="1" ht="30.75" customHeight="1"/>
  </sheetData>
  <sheetProtection password="CE88" sheet="1" objects="1" scenarios="1"/>
  <mergeCells count="23">
    <mergeCell ref="C26:C28"/>
    <mergeCell ref="C29:C31"/>
    <mergeCell ref="B35:D35"/>
    <mergeCell ref="A25:A35"/>
    <mergeCell ref="B25:D25"/>
    <mergeCell ref="B26:B34"/>
    <mergeCell ref="C32:C34"/>
    <mergeCell ref="A14:A24"/>
    <mergeCell ref="B14:D14"/>
    <mergeCell ref="C15:C17"/>
    <mergeCell ref="C18:C20"/>
    <mergeCell ref="B24:D24"/>
    <mergeCell ref="B15:B23"/>
    <mergeCell ref="C21:C23"/>
    <mergeCell ref="A1:G1"/>
    <mergeCell ref="A2:D2"/>
    <mergeCell ref="A3:A13"/>
    <mergeCell ref="B3:D3"/>
    <mergeCell ref="C4:C6"/>
    <mergeCell ref="C7:C9"/>
    <mergeCell ref="B13:D13"/>
    <mergeCell ref="B4:B12"/>
    <mergeCell ref="C10:C12"/>
  </mergeCells>
  <printOptions/>
  <pageMargins left="0.75" right="0.68" top="0.72" bottom="1" header="0.5" footer="0.5"/>
  <pageSetup horizontalDpi="1200" verticalDpi="1200" orientation="portrait" paperSize="9"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G22"/>
  <sheetViews>
    <sheetView zoomScalePageLayoutView="0" workbookViewId="0" topLeftCell="A1">
      <selection activeCell="H22" sqref="H22"/>
    </sheetView>
  </sheetViews>
  <sheetFormatPr defaultColWidth="9.140625" defaultRowHeight="12.75"/>
  <cols>
    <col min="1" max="5" width="9.140625" style="228" customWidth="1"/>
    <col min="6" max="6" width="13.140625" style="228" customWidth="1"/>
    <col min="7" max="16384" width="9.140625" style="228" customWidth="1"/>
  </cols>
  <sheetData>
    <row r="1" spans="1:7" ht="14.25" customHeight="1" thickBot="1">
      <c r="A1" s="560" t="s">
        <v>1304</v>
      </c>
      <c r="B1" s="561"/>
      <c r="C1" s="561"/>
      <c r="D1" s="561"/>
      <c r="E1" s="561"/>
      <c r="F1" s="561"/>
      <c r="G1" s="561"/>
    </row>
    <row r="2" spans="1:7" ht="15.75" thickBot="1">
      <c r="A2" s="562" t="s">
        <v>63</v>
      </c>
      <c r="B2" s="563"/>
      <c r="C2" s="563"/>
      <c r="D2" s="564"/>
      <c r="E2" s="310" t="s">
        <v>60</v>
      </c>
      <c r="F2" s="311" t="s">
        <v>61</v>
      </c>
      <c r="G2" s="312" t="s">
        <v>62</v>
      </c>
    </row>
    <row r="3" spans="1:7" ht="25.5" customHeight="1">
      <c r="A3" s="565" t="s">
        <v>1301</v>
      </c>
      <c r="B3" s="567" t="s">
        <v>1283</v>
      </c>
      <c r="C3" s="567"/>
      <c r="D3" s="567"/>
      <c r="E3" s="375" t="s">
        <v>1271</v>
      </c>
      <c r="F3" s="321" t="s">
        <v>238</v>
      </c>
      <c r="G3" s="258">
        <v>47</v>
      </c>
    </row>
    <row r="4" spans="1:7" ht="12.75" customHeight="1">
      <c r="A4" s="566"/>
      <c r="B4" s="568" t="s">
        <v>138</v>
      </c>
      <c r="C4" s="569"/>
      <c r="D4" s="570"/>
      <c r="E4" s="375" t="s">
        <v>1272</v>
      </c>
      <c r="F4" s="368" t="s">
        <v>931</v>
      </c>
      <c r="G4" s="258">
        <v>1073970.5</v>
      </c>
    </row>
    <row r="5" spans="1:7" ht="12.75" customHeight="1">
      <c r="A5" s="566"/>
      <c r="B5" s="380" t="s">
        <v>946</v>
      </c>
      <c r="C5" s="546" t="s">
        <v>1270</v>
      </c>
      <c r="D5" s="547"/>
      <c r="E5" s="375" t="s">
        <v>1273</v>
      </c>
      <c r="F5" s="368" t="s">
        <v>931</v>
      </c>
      <c r="G5" s="258">
        <v>1073970.5</v>
      </c>
    </row>
    <row r="6" spans="1:7" ht="12.75" customHeight="1">
      <c r="A6" s="566"/>
      <c r="B6" s="548" t="s">
        <v>1302</v>
      </c>
      <c r="C6" s="548"/>
      <c r="D6" s="548"/>
      <c r="E6" s="375" t="s">
        <v>1274</v>
      </c>
      <c r="F6" s="286" t="s">
        <v>1277</v>
      </c>
      <c r="G6" s="258">
        <v>1062</v>
      </c>
    </row>
    <row r="7" spans="1:7" ht="12.75" customHeight="1">
      <c r="A7" s="566"/>
      <c r="B7" s="432" t="s">
        <v>1287</v>
      </c>
      <c r="C7" s="575"/>
      <c r="D7" s="576"/>
      <c r="E7" s="375" t="s">
        <v>1275</v>
      </c>
      <c r="F7" s="296" t="s">
        <v>67</v>
      </c>
      <c r="G7" s="384">
        <f>G8+G9+G10+G11</f>
        <v>1168</v>
      </c>
    </row>
    <row r="8" spans="1:7" ht="26.25" customHeight="1">
      <c r="A8" s="566"/>
      <c r="B8" s="577" t="s">
        <v>74</v>
      </c>
      <c r="C8" s="536" t="s">
        <v>140</v>
      </c>
      <c r="D8" s="225" t="s">
        <v>142</v>
      </c>
      <c r="E8" s="375" t="s">
        <v>1276</v>
      </c>
      <c r="F8" s="296" t="s">
        <v>67</v>
      </c>
      <c r="G8" s="258">
        <v>140</v>
      </c>
    </row>
    <row r="9" spans="1:7" ht="12.75" customHeight="1">
      <c r="A9" s="566"/>
      <c r="B9" s="578"/>
      <c r="C9" s="554"/>
      <c r="D9" s="225" t="s">
        <v>143</v>
      </c>
      <c r="E9" s="375" t="s">
        <v>1284</v>
      </c>
      <c r="F9" s="296" t="s">
        <v>67</v>
      </c>
      <c r="G9" s="258">
        <v>153</v>
      </c>
    </row>
    <row r="10" spans="1:7" ht="12.75" customHeight="1">
      <c r="A10" s="566"/>
      <c r="B10" s="578"/>
      <c r="C10" s="555" t="s">
        <v>141</v>
      </c>
      <c r="D10" s="225" t="s">
        <v>142</v>
      </c>
      <c r="E10" s="375" t="s">
        <v>1285</v>
      </c>
      <c r="F10" s="296" t="s">
        <v>67</v>
      </c>
      <c r="G10" s="258">
        <v>362</v>
      </c>
    </row>
    <row r="11" spans="1:7" ht="12.75">
      <c r="A11" s="566"/>
      <c r="B11" s="579"/>
      <c r="C11" s="556"/>
      <c r="D11" s="225" t="s">
        <v>143</v>
      </c>
      <c r="E11" s="375" t="s">
        <v>1286</v>
      </c>
      <c r="F11" s="381" t="s">
        <v>67</v>
      </c>
      <c r="G11" s="258">
        <v>513</v>
      </c>
    </row>
    <row r="12" spans="1:7" ht="13.5" thickBot="1">
      <c r="A12" s="566"/>
      <c r="B12" s="557" t="s">
        <v>1288</v>
      </c>
      <c r="C12" s="558"/>
      <c r="D12" s="559"/>
      <c r="E12" s="375" t="s">
        <v>1289</v>
      </c>
      <c r="F12" s="381" t="s">
        <v>1277</v>
      </c>
      <c r="G12" s="258">
        <v>1049</v>
      </c>
    </row>
    <row r="13" spans="1:7" ht="33" customHeight="1">
      <c r="A13" s="549" t="s">
        <v>1278</v>
      </c>
      <c r="B13" s="552" t="s">
        <v>1283</v>
      </c>
      <c r="C13" s="552"/>
      <c r="D13" s="552"/>
      <c r="E13" s="375" t="s">
        <v>1290</v>
      </c>
      <c r="F13" s="382" t="s">
        <v>238</v>
      </c>
      <c r="G13" s="258">
        <v>0</v>
      </c>
    </row>
    <row r="14" spans="1:7" ht="12.75">
      <c r="A14" s="550"/>
      <c r="B14" s="548" t="s">
        <v>138</v>
      </c>
      <c r="C14" s="548"/>
      <c r="D14" s="548"/>
      <c r="E14" s="375" t="s">
        <v>1291</v>
      </c>
      <c r="F14" s="368" t="s">
        <v>931</v>
      </c>
      <c r="G14" s="258">
        <v>0</v>
      </c>
    </row>
    <row r="15" spans="1:7" ht="12.75">
      <c r="A15" s="550"/>
      <c r="B15" s="548" t="s">
        <v>1302</v>
      </c>
      <c r="C15" s="548"/>
      <c r="D15" s="548"/>
      <c r="E15" s="375" t="s">
        <v>1292</v>
      </c>
      <c r="F15" s="286" t="s">
        <v>1277</v>
      </c>
      <c r="G15" s="258">
        <v>0</v>
      </c>
    </row>
    <row r="16" spans="1:7" ht="12.75">
      <c r="A16" s="550"/>
      <c r="B16" s="553" t="s">
        <v>1287</v>
      </c>
      <c r="C16" s="553"/>
      <c r="D16" s="553"/>
      <c r="E16" s="375" t="s">
        <v>1293</v>
      </c>
      <c r="F16" s="296" t="s">
        <v>67</v>
      </c>
      <c r="G16" s="384">
        <f>G17+G18+G19+G20</f>
        <v>0</v>
      </c>
    </row>
    <row r="17" spans="1:7" ht="12.75">
      <c r="A17" s="550"/>
      <c r="B17" s="571" t="s">
        <v>74</v>
      </c>
      <c r="C17" s="573" t="s">
        <v>140</v>
      </c>
      <c r="D17" s="225" t="s">
        <v>142</v>
      </c>
      <c r="E17" s="375" t="s">
        <v>1294</v>
      </c>
      <c r="F17" s="296" t="s">
        <v>67</v>
      </c>
      <c r="G17" s="258">
        <v>0</v>
      </c>
    </row>
    <row r="18" spans="1:7" ht="12.75">
      <c r="A18" s="550"/>
      <c r="B18" s="571"/>
      <c r="C18" s="573"/>
      <c r="D18" s="225" t="s">
        <v>143</v>
      </c>
      <c r="E18" s="375" t="s">
        <v>1295</v>
      </c>
      <c r="F18" s="296" t="s">
        <v>67</v>
      </c>
      <c r="G18" s="258">
        <v>0</v>
      </c>
    </row>
    <row r="19" spans="1:7" ht="12.75">
      <c r="A19" s="550"/>
      <c r="B19" s="571"/>
      <c r="C19" s="573" t="s">
        <v>141</v>
      </c>
      <c r="D19" s="225" t="s">
        <v>142</v>
      </c>
      <c r="E19" s="375" t="s">
        <v>1296</v>
      </c>
      <c r="F19" s="296" t="s">
        <v>67</v>
      </c>
      <c r="G19" s="258">
        <v>0</v>
      </c>
    </row>
    <row r="20" spans="1:7" ht="13.5" thickBot="1">
      <c r="A20" s="551"/>
      <c r="B20" s="572"/>
      <c r="C20" s="574"/>
      <c r="D20" s="279" t="s">
        <v>143</v>
      </c>
      <c r="E20" s="375" t="s">
        <v>1297</v>
      </c>
      <c r="F20" s="369" t="s">
        <v>67</v>
      </c>
      <c r="G20" s="258">
        <v>0</v>
      </c>
    </row>
    <row r="22" ht="12.75">
      <c r="B22" s="383"/>
    </row>
  </sheetData>
  <sheetProtection password="CE88" sheet="1" objects="1" scenarios="1"/>
  <mergeCells count="20">
    <mergeCell ref="A1:G1"/>
    <mergeCell ref="A2:D2"/>
    <mergeCell ref="A3:A12"/>
    <mergeCell ref="B3:D3"/>
    <mergeCell ref="B4:D4"/>
    <mergeCell ref="B17:B20"/>
    <mergeCell ref="C17:C18"/>
    <mergeCell ref="C19:C20"/>
    <mergeCell ref="B7:D7"/>
    <mergeCell ref="B8:B11"/>
    <mergeCell ref="C5:D5"/>
    <mergeCell ref="B6:D6"/>
    <mergeCell ref="A13:A20"/>
    <mergeCell ref="B13:D13"/>
    <mergeCell ref="B14:D14"/>
    <mergeCell ref="B15:D15"/>
    <mergeCell ref="B16:D16"/>
    <mergeCell ref="C8:C9"/>
    <mergeCell ref="C10:C11"/>
    <mergeCell ref="B12:D1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T203"/>
  <sheetViews>
    <sheetView zoomScalePageLayoutView="0" workbookViewId="0" topLeftCell="A10">
      <selection activeCell="H16" sqref="H16"/>
    </sheetView>
  </sheetViews>
  <sheetFormatPr defaultColWidth="9.140625" defaultRowHeight="12.75"/>
  <cols>
    <col min="1" max="1" width="10.7109375" style="0" customWidth="1"/>
    <col min="3" max="3" width="18.28125" style="0" customWidth="1"/>
    <col min="4" max="4" width="12.28125" style="0" customWidth="1"/>
    <col min="5" max="5" width="9.140625" style="99" customWidth="1"/>
    <col min="6" max="6" width="12.421875" style="0" customWidth="1"/>
    <col min="7" max="7" width="14.57421875" style="0" customWidth="1"/>
    <col min="10" max="10" width="11.7109375" style="0" customWidth="1"/>
    <col min="12" max="12" width="12.140625" style="0" customWidth="1"/>
    <col min="14" max="14" width="10.28125" style="0" bestFit="1" customWidth="1"/>
    <col min="17" max="17" width="10.28125" style="0" bestFit="1" customWidth="1"/>
  </cols>
  <sheetData>
    <row r="1" spans="1:12" s="1" customFormat="1" ht="27.75" customHeight="1">
      <c r="A1" s="604" t="s">
        <v>123</v>
      </c>
      <c r="B1" s="605"/>
      <c r="C1" s="605"/>
      <c r="D1" s="605"/>
      <c r="E1" s="605"/>
      <c r="F1" s="605"/>
      <c r="G1" s="605"/>
      <c r="H1" s="605"/>
      <c r="I1" s="605"/>
      <c r="J1" s="605"/>
      <c r="K1" s="605"/>
      <c r="L1" s="605"/>
    </row>
    <row r="2" s="1" customFormat="1" ht="13.5" thickBot="1">
      <c r="E2" s="94"/>
    </row>
    <row r="3" spans="1:16" s="59" customFormat="1" ht="21" customHeight="1">
      <c r="A3" s="616" t="s">
        <v>124</v>
      </c>
      <c r="B3" s="617"/>
      <c r="C3" s="617"/>
      <c r="D3" s="618"/>
      <c r="E3" s="606" t="s">
        <v>60</v>
      </c>
      <c r="F3" s="609" t="s">
        <v>61</v>
      </c>
      <c r="G3" s="609" t="s">
        <v>125</v>
      </c>
      <c r="H3" s="609" t="s">
        <v>126</v>
      </c>
      <c r="I3" s="609"/>
      <c r="J3" s="609"/>
      <c r="K3" s="609"/>
      <c r="L3" s="612"/>
      <c r="P3" s="59" t="str">
        <f>IF(AND(CODE(Q5)=79,CODE('2.1'!O7)=79,CODE('2.1'!O8)=79,CODE('2.1_turp'!O5)=79,CODE('2.2'!O7)=79,CODE('2.3'!O7)=79,CODE('2.4'!O7)=79,CODE('2.5'!O7)=79,CODE('2.6'!O7)=79,CODE('2.7'!O7)=79),"ok","Pārbaudi tabulas 2, 2.1, 2.2, 2.3, 2.4, 2.5, 2.6, 2.7")</f>
        <v>ok</v>
      </c>
    </row>
    <row r="4" spans="1:14" s="59" customFormat="1" ht="30.75" customHeight="1">
      <c r="A4" s="619"/>
      <c r="B4" s="620"/>
      <c r="C4" s="620"/>
      <c r="D4" s="621"/>
      <c r="E4" s="607"/>
      <c r="F4" s="610"/>
      <c r="G4" s="610"/>
      <c r="H4" s="610" t="s">
        <v>127</v>
      </c>
      <c r="I4" s="610" t="s">
        <v>128</v>
      </c>
      <c r="J4" s="610"/>
      <c r="K4" s="610" t="s">
        <v>129</v>
      </c>
      <c r="L4" s="614"/>
      <c r="N4" s="229"/>
    </row>
    <row r="5" spans="1:17" s="59" customFormat="1" ht="55.5" customHeight="1" thickBot="1">
      <c r="A5" s="622"/>
      <c r="B5" s="623"/>
      <c r="C5" s="623"/>
      <c r="D5" s="624"/>
      <c r="E5" s="608"/>
      <c r="F5" s="611"/>
      <c r="G5" s="611"/>
      <c r="H5" s="611"/>
      <c r="I5" s="78" t="s">
        <v>130</v>
      </c>
      <c r="J5" s="78" t="s">
        <v>131</v>
      </c>
      <c r="K5" s="78" t="s">
        <v>130</v>
      </c>
      <c r="L5" s="79" t="s">
        <v>131</v>
      </c>
      <c r="Q5" t="str">
        <f>IF(AND(SUM(G6:L6)&gt;0,SUM(G11:L11)&gt;0),"OK",IF(SUM(G6:L16)=0,"OK","JA lieto naudu vai ir cilvēki tad jabut arī institūcijām"))</f>
        <v>OK</v>
      </c>
    </row>
    <row r="6" spans="1:13" s="30" customFormat="1" ht="30.75" customHeight="1">
      <c r="A6" s="583" t="s">
        <v>132</v>
      </c>
      <c r="B6" s="585" t="s">
        <v>133</v>
      </c>
      <c r="C6" s="586"/>
      <c r="D6" s="587"/>
      <c r="E6" s="109" t="s">
        <v>792</v>
      </c>
      <c r="F6" s="82" t="s">
        <v>144</v>
      </c>
      <c r="G6" s="139">
        <v>3</v>
      </c>
      <c r="H6" s="139">
        <v>17</v>
      </c>
      <c r="I6" s="139">
        <v>2</v>
      </c>
      <c r="J6" s="139">
        <v>12</v>
      </c>
      <c r="K6" s="139">
        <v>0</v>
      </c>
      <c r="L6" s="140">
        <v>0</v>
      </c>
      <c r="M6" s="179" t="str">
        <f>IF(AND(G6&gt;=G7,G6&gt;=G8),"OK","Pārskata gada laikā pašvald. izveidoto soc. pakalpojumu sniedzēju institūciju skaits vai soc. pakalpojumu sniedzēju  skaits institūcijās, kas ir soc. dienesta struktūrvienības, ir lielāks kā soc. pakalpojumu sniedzēju kopējais skaits pārskata gada beigās!")</f>
        <v>OK</v>
      </c>
    </row>
    <row r="7" spans="1:12" s="30" customFormat="1" ht="45.75" customHeight="1">
      <c r="A7" s="465"/>
      <c r="B7" s="500" t="s">
        <v>134</v>
      </c>
      <c r="C7" s="403"/>
      <c r="D7" s="502"/>
      <c r="E7" s="96" t="s">
        <v>794</v>
      </c>
      <c r="F7" s="74" t="s">
        <v>144</v>
      </c>
      <c r="G7" s="141">
        <v>2</v>
      </c>
      <c r="H7" s="62" t="s">
        <v>145</v>
      </c>
      <c r="I7" s="62" t="s">
        <v>145</v>
      </c>
      <c r="J7" s="62" t="s">
        <v>145</v>
      </c>
      <c r="K7" s="62" t="s">
        <v>145</v>
      </c>
      <c r="L7" s="67" t="s">
        <v>145</v>
      </c>
    </row>
    <row r="8" spans="1:12" s="30" customFormat="1" ht="32.25" customHeight="1">
      <c r="A8" s="465"/>
      <c r="B8" s="500" t="s">
        <v>135</v>
      </c>
      <c r="C8" s="403"/>
      <c r="D8" s="502"/>
      <c r="E8" s="96" t="s">
        <v>818</v>
      </c>
      <c r="F8" s="74" t="s">
        <v>144</v>
      </c>
      <c r="G8" s="141">
        <v>2</v>
      </c>
      <c r="H8" s="62" t="s">
        <v>145</v>
      </c>
      <c r="I8" s="62" t="s">
        <v>145</v>
      </c>
      <c r="J8" s="62" t="s">
        <v>145</v>
      </c>
      <c r="K8" s="62" t="s">
        <v>145</v>
      </c>
      <c r="L8" s="67" t="s">
        <v>145</v>
      </c>
    </row>
    <row r="9" spans="1:13" s="30" customFormat="1" ht="15">
      <c r="A9" s="465"/>
      <c r="B9" s="500" t="s">
        <v>136</v>
      </c>
      <c r="C9" s="403"/>
      <c r="D9" s="502"/>
      <c r="E9" s="92" t="s">
        <v>793</v>
      </c>
      <c r="F9" s="54" t="s">
        <v>67</v>
      </c>
      <c r="G9" s="119">
        <f>'2.1'!H6+'2.2'!G6+'2.3'!G6+'2.4'!G6+'2.5'!G6+'2.6'!G6+'2.7'!H6</f>
        <v>42</v>
      </c>
      <c r="H9" s="62" t="s">
        <v>145</v>
      </c>
      <c r="I9" s="62" t="s">
        <v>145</v>
      </c>
      <c r="J9" s="62" t="s">
        <v>145</v>
      </c>
      <c r="K9" s="62" t="s">
        <v>145</v>
      </c>
      <c r="L9" s="67" t="s">
        <v>145</v>
      </c>
      <c r="M9" s="179" t="str">
        <f>IF(G9&gt;=G10,"OK","Sociālā darba speciālistu skaits ir lielāks kā kopējais darbinieku skaits pārskata gada beigās!")</f>
        <v>OK</v>
      </c>
    </row>
    <row r="10" spans="1:12" s="30" customFormat="1" ht="15">
      <c r="A10" s="465"/>
      <c r="B10" s="500" t="s">
        <v>137</v>
      </c>
      <c r="C10" s="403"/>
      <c r="D10" s="502"/>
      <c r="E10" s="96" t="s">
        <v>795</v>
      </c>
      <c r="F10" s="54" t="s">
        <v>67</v>
      </c>
      <c r="G10" s="119">
        <f>'2.1'!H7+'2.2'!G7+'2.3'!G7+'2.4'!G7+'2.5'!G7+'2.6'!G7+'2.7'!H7</f>
        <v>5</v>
      </c>
      <c r="H10" s="62" t="s">
        <v>145</v>
      </c>
      <c r="I10" s="62" t="s">
        <v>145</v>
      </c>
      <c r="J10" s="62" t="s">
        <v>145</v>
      </c>
      <c r="K10" s="62" t="s">
        <v>145</v>
      </c>
      <c r="L10" s="67" t="s">
        <v>145</v>
      </c>
    </row>
    <row r="11" spans="1:12" s="30" customFormat="1" ht="15">
      <c r="A11" s="465"/>
      <c r="B11" s="500" t="s">
        <v>138</v>
      </c>
      <c r="C11" s="403"/>
      <c r="D11" s="502"/>
      <c r="E11" s="92" t="s">
        <v>796</v>
      </c>
      <c r="F11" s="240" t="s">
        <v>931</v>
      </c>
      <c r="G11" s="119">
        <f>'2.1'!H8+'2.2'!G8+'2.3'!G8+'2.4'!G8+'2.5'!G5+'2.6'!G5+'2.7'!H8</f>
        <v>656463.5700000001</v>
      </c>
      <c r="H11" s="119">
        <f>'2.1'!I8+'2.2'!H8+'2.3'!H8+'2.4'!H8+'2.5'!H5+'2.6'!H5+'2.7'!I8</f>
        <v>160496.5</v>
      </c>
      <c r="I11" s="119">
        <f>'2.1'!J8+'2.2'!I8+'2.3'!I8+'2.4'!I8+'2.5'!I5+'2.6'!I5+'2.7'!J8</f>
        <v>526895.84</v>
      </c>
      <c r="J11" s="119">
        <f>'2.1'!K8+'2.2'!J8+'2.3'!J8+'2.4'!J8+'2.5'!J5+'2.6'!J5+'2.7'!K8</f>
        <v>230548.78</v>
      </c>
      <c r="K11" s="119">
        <f>'2.1'!L8+'2.2'!K8+'2.3'!K8+'2.4'!K8+'2.5'!K5+'2.6'!K5+'2.7'!L8</f>
        <v>0</v>
      </c>
      <c r="L11" s="125">
        <f>'2.1'!M8+'2.2'!L8+'2.3'!L8+'2.4'!L8+'2.5'!L5+'2.6'!L5+'2.7'!M8</f>
        <v>0</v>
      </c>
    </row>
    <row r="12" spans="1:13" s="30" customFormat="1" ht="15">
      <c r="A12" s="465"/>
      <c r="B12" s="500" t="s">
        <v>139</v>
      </c>
      <c r="C12" s="403"/>
      <c r="D12" s="502"/>
      <c r="E12" s="92" t="s">
        <v>797</v>
      </c>
      <c r="F12" s="54" t="s">
        <v>67</v>
      </c>
      <c r="G12" s="119">
        <f aca="true" t="shared" si="0" ref="G12:L12">G13+G14+G15+G16</f>
        <v>192</v>
      </c>
      <c r="H12" s="119">
        <f t="shared" si="0"/>
        <v>39</v>
      </c>
      <c r="I12" s="119">
        <f t="shared" si="0"/>
        <v>167</v>
      </c>
      <c r="J12" s="119">
        <f t="shared" si="0"/>
        <v>70</v>
      </c>
      <c r="K12" s="119">
        <f t="shared" si="0"/>
        <v>0</v>
      </c>
      <c r="L12" s="125">
        <f t="shared" si="0"/>
        <v>0</v>
      </c>
      <c r="M12" s="20"/>
    </row>
    <row r="13" spans="1:13" s="30" customFormat="1" ht="15">
      <c r="A13" s="465"/>
      <c r="B13" s="475" t="s">
        <v>74</v>
      </c>
      <c r="C13" s="580" t="s">
        <v>140</v>
      </c>
      <c r="D13" s="55" t="s">
        <v>142</v>
      </c>
      <c r="E13" s="95" t="s">
        <v>798</v>
      </c>
      <c r="F13" s="54" t="s">
        <v>67</v>
      </c>
      <c r="G13" s="141">
        <v>19</v>
      </c>
      <c r="H13" s="141">
        <v>5</v>
      </c>
      <c r="I13" s="141">
        <v>5</v>
      </c>
      <c r="J13" s="141">
        <v>16</v>
      </c>
      <c r="K13" s="141">
        <v>0</v>
      </c>
      <c r="L13" s="142">
        <v>0</v>
      </c>
      <c r="M13" s="20"/>
    </row>
    <row r="14" spans="1:20" s="30" customFormat="1" ht="15">
      <c r="A14" s="465"/>
      <c r="B14" s="475"/>
      <c r="C14" s="581"/>
      <c r="D14" s="55" t="s">
        <v>143</v>
      </c>
      <c r="E14" s="95" t="s">
        <v>799</v>
      </c>
      <c r="F14" s="54" t="s">
        <v>67</v>
      </c>
      <c r="G14" s="141">
        <v>18</v>
      </c>
      <c r="H14" s="141">
        <v>0</v>
      </c>
      <c r="I14" s="141">
        <v>1</v>
      </c>
      <c r="J14" s="141">
        <v>14</v>
      </c>
      <c r="K14" s="141">
        <v>0</v>
      </c>
      <c r="L14" s="142">
        <v>0</v>
      </c>
      <c r="M14" s="20"/>
      <c r="O14" s="30" t="str">
        <f>IF(G11='2.1'!H8+'2.2'!G8+'2.3'!G8+'2.4'!G8+'2.5'!G5+'2.6'!G5+'2.7'!H8,"OK","pārbaudi naudu")</f>
        <v>OK</v>
      </c>
      <c r="P14" s="30" t="str">
        <f>IF(H11='2.1'!I8+'2.2'!H8+'2.3'!H8+'2.4'!H8+'2.5'!H5+'2.6'!H5+'2.7'!I8,"OK","pārbaudi naudu")</f>
        <v>OK</v>
      </c>
      <c r="Q14" s="30" t="str">
        <f>IF(I11='2.1'!J8+'2.2'!I8+'2.3'!I8+'2.4'!I8+'2.5'!I5+'2.6'!I5+'2.7'!J8,"OK","pārbaudi naudu")</f>
        <v>OK</v>
      </c>
      <c r="R14" s="30" t="str">
        <f>IF(J11='2.1'!K8+'2.2'!J8+'2.3'!J8+'2.4'!J8+'2.5'!J5+'2.6'!J5+'2.7'!K8,"OK","pārbaudi naudu")</f>
        <v>OK</v>
      </c>
      <c r="S14" s="30" t="str">
        <f>IF(K11='2.1'!L8+'2.2'!K8+'2.3'!K8+'2.4'!K8+'2.5'!K5+'2.6'!K5+'2.7'!L8,"OK","pārbaudi naudu")</f>
        <v>OK</v>
      </c>
      <c r="T14" s="30" t="str">
        <f>IF(L11='2.1'!M8+'2.2'!L8+'2.3'!L8+'2.4'!L8+'2.5'!L5+'2.6'!L5+'2.7'!M8,"OK","pārbaudi naudu")</f>
        <v>OK</v>
      </c>
    </row>
    <row r="15" spans="1:20" s="30" customFormat="1" ht="15">
      <c r="A15" s="465"/>
      <c r="B15" s="475"/>
      <c r="C15" s="580" t="s">
        <v>141</v>
      </c>
      <c r="D15" s="55" t="s">
        <v>142</v>
      </c>
      <c r="E15" s="95" t="s">
        <v>800</v>
      </c>
      <c r="F15" s="54" t="s">
        <v>67</v>
      </c>
      <c r="G15" s="141">
        <v>51</v>
      </c>
      <c r="H15" s="141">
        <v>17</v>
      </c>
      <c r="I15" s="141">
        <v>62</v>
      </c>
      <c r="J15" s="141">
        <v>8</v>
      </c>
      <c r="K15" s="141">
        <v>0</v>
      </c>
      <c r="L15" s="142">
        <v>0</v>
      </c>
      <c r="M15" s="20"/>
      <c r="O15" s="30" t="str">
        <f>IF(AND(MAX('2.1'!H9,'2.2'!G9,'2.3'!G9,'2.4'!G9,'2.5'!G12,'2.6'!G12,'2.6'!G26,'2.6'!G40,'2.6'!G54,'2.6'!G68,'2.7'!H9)&lt;=G12,G12&lt;='2.1'!H9+'2.2'!G9+'2.3'!G9+'2.4'!G9+'2.5'!G12+'2.6'!G12+'2.6'!G26+'2.6'!G40+'2.6'!G54+'2.6'!G68+'2.7'!H9),"OK","Pārbaudi personu skaitu")</f>
        <v>OK</v>
      </c>
      <c r="P15" s="30" t="str">
        <f>IF(AND(MAX('2.1'!I9,'2.2'!H9,'2.3'!H9,'2.4'!H9,'2.5'!H12,'2.6'!H12,'2.6'!H26,'2.6'!H40,'2.6'!H54,'2.6'!H68,'2.7'!I9)&lt;=H12,H12&lt;='2.1'!I9+'2.2'!H9+'2.3'!H9+'2.4'!H9+'2.5'!H12+'2.6'!H12+'2.6'!H26+'2.6'!H40+'2.6'!H54+'2.6'!H68+'2.7'!I9),"OK","Pārbaudi personu skaitu")</f>
        <v>OK</v>
      </c>
      <c r="Q15" s="30" t="str">
        <f>IF(AND(MAX('2.1'!J9,'2.2'!I9,'2.3'!I9,'2.4'!I9,'2.5'!I12,'2.6'!I12,'2.6'!I26,'2.6'!I40,'2.6'!I54,'2.6'!I68,'2.7'!J9)&lt;=I12,I12&lt;='2.1'!J9+'2.2'!I9+'2.3'!I9+'2.4'!I9+'2.5'!I12+'2.6'!I12+'2.6'!I26+'2.6'!I40+'2.6'!I54+'2.6'!I68+'2.7'!J9),"OK","Pārbaudi personu skaitu")</f>
        <v>OK</v>
      </c>
      <c r="R15" s="30" t="str">
        <f>IF(AND(MAX('2.1'!K9,'2.2'!J9,'2.3'!J9,'2.4'!J9,'2.5'!J12,'2.6'!J12,'2.6'!J26,'2.6'!J40,'2.6'!J54,'2.6'!J68,'2.7'!K9)&lt;=J12,J12&lt;='2.1'!K9+'2.2'!J9+'2.3'!J9+'2.4'!J9+'2.5'!J12+'2.6'!J12+'2.6'!J26+'2.6'!J40+'2.6'!J54+'2.6'!J68+'2.7'!K9),"OK","Pārbaudi personu skaitu")</f>
        <v>OK</v>
      </c>
      <c r="S15" s="30" t="str">
        <f>IF(AND(MAX('2.1'!L9,'2.2'!K9,'2.3'!K9,'2.4'!K9,'2.5'!K12,'2.6'!K12,'2.6'!K26,'2.6'!K40,'2.6'!K54,'2.6'!K68,'2.7'!L9)&lt;=K12,K12&lt;='2.1'!L9+'2.2'!K9+'2.3'!K9+'2.4'!K9+'2.5'!K12+'2.6'!K12+'2.6'!K26+'2.6'!K40+'2.6'!K54+'2.6'!K68+'2.7'!L9),"OK","Pārbaudi personu skaitu")</f>
        <v>OK</v>
      </c>
      <c r="T15" s="30" t="str">
        <f>IF(AND(MAX('2.1'!M9,'2.2'!L9,'2.3'!L9,'2.4'!L9,'2.5'!L12,'2.6'!L12,'2.6'!L26,'2.6'!L40,'2.6'!L54,'2.6'!L68,'2.7'!M9)&lt;=L12,L12&lt;='2.1'!M9+'2.2'!L9+'2.3'!L9+'2.4'!L9+'2.5'!L12+'2.6'!L12+'2.6'!L26+'2.6'!L40+'2.6'!L54+'2.6'!L68+'2.7'!M9),"OK","Pārbaudi personu skaitu")</f>
        <v>OK</v>
      </c>
    </row>
    <row r="16" spans="1:20" s="30" customFormat="1" ht="15.75" thickBot="1">
      <c r="A16" s="584"/>
      <c r="B16" s="613"/>
      <c r="C16" s="582"/>
      <c r="D16" s="68" t="s">
        <v>143</v>
      </c>
      <c r="E16" s="110" t="s">
        <v>801</v>
      </c>
      <c r="F16" s="56" t="s">
        <v>67</v>
      </c>
      <c r="G16" s="143">
        <v>104</v>
      </c>
      <c r="H16" s="143">
        <v>17</v>
      </c>
      <c r="I16" s="143">
        <v>99</v>
      </c>
      <c r="J16" s="143">
        <v>32</v>
      </c>
      <c r="K16" s="143">
        <v>0</v>
      </c>
      <c r="L16" s="144">
        <v>0</v>
      </c>
      <c r="M16" s="20"/>
      <c r="O16" s="30" t="str">
        <f>IF(AND(MAX('2.1'!H10,'2.2'!G10,'2.3'!G10,'2.4'!G10,'2.5'!G13,'2.6'!G13,'2.6'!G27,'2.6'!G41,'2.6'!G55,'2.6'!G69,'2.7'!H10)&lt;=G13,G13&lt;='2.1'!H10+'2.2'!G10+'2.3'!G10+'2.4'!G10+'2.5'!G13+'2.6'!G13+'2.6'!G27+'2.6'!G41+'2.6'!G55+'2.6'!G69+'2.7'!H10),"OK","Pārbaudi bērnu skaitu vīrieši")</f>
        <v>OK</v>
      </c>
      <c r="P16" s="30" t="str">
        <f>IF(AND(MAX('2.1'!I10,'2.2'!H10,'2.3'!H10,'2.4'!H10,'2.5'!H13,'2.6'!H13,'2.6'!H27,'2.6'!H41,'2.6'!H55,'2.6'!H69,'2.7'!I10)&lt;=H13,H13&lt;='2.1'!I10+'2.2'!H10+'2.3'!H10+'2.4'!H10+'2.5'!H13+'2.6'!H13+'2.6'!H27+'2.6'!H41+'2.6'!H55+'2.6'!H69+'2.7'!I10),"OK","Pārbaudi bērnu skaitu vīrieši")</f>
        <v>OK</v>
      </c>
      <c r="Q16" s="30" t="str">
        <f>IF(AND(MAX('2.1'!J10,'2.2'!I10,'2.3'!I10,'2.4'!I10,'2.5'!I13,'2.6'!I13,'2.6'!I27,'2.6'!I41,'2.6'!I55,'2.6'!I69,'2.7'!J10)&lt;=I13,I13&lt;='2.1'!J10+'2.2'!I10+'2.3'!I10+'2.4'!I10+'2.5'!I13+'2.6'!I13+'2.6'!I27+'2.6'!I41+'2.6'!I55+'2.6'!I69+'2.7'!J10),"OK","Pārbaudi bērnu skaitu vīrieši")</f>
        <v>OK</v>
      </c>
      <c r="R16" s="30" t="str">
        <f>IF(AND(MAX('2.1'!K10,'2.2'!J10,'2.3'!J10,'2.4'!J10,'2.5'!J13,'2.6'!J13,'2.6'!J27,'2.6'!J41,'2.6'!J55,'2.6'!J69,'2.7'!K10)&lt;=J13,J13&lt;='2.1'!K10+'2.2'!J10+'2.3'!J10+'2.4'!J10+'2.5'!J13+'2.6'!J13+'2.6'!J27+'2.6'!J41+'2.6'!J55+'2.6'!J69+'2.7'!K10),"OK","Pārbaudi bērnu skaitu vīrieši")</f>
        <v>OK</v>
      </c>
      <c r="S16" s="30" t="str">
        <f>IF(AND(MAX('2.1'!L10,'2.2'!K10,'2.3'!K10,'2.4'!K10,'2.5'!K13,'2.6'!K13,'2.6'!K27,'2.6'!K41,'2.6'!K55,'2.6'!K69,'2.7'!L10)&lt;=K13,K13&lt;='2.1'!L10+'2.2'!K10+'2.3'!K10+'2.4'!K10+'2.5'!K13+'2.6'!K13+'2.6'!K27+'2.6'!K41+'2.6'!K55+'2.6'!K69+'2.7'!L10),"OK","Pārbaudi bērnu skaitu vīrieši")</f>
        <v>OK</v>
      </c>
      <c r="T16" s="30" t="str">
        <f>IF(AND(MAX('2.1'!M10,'2.2'!L10,'2.3'!L10,'2.4'!L10,'2.5'!L13,'2.6'!L13,'2.6'!L27,'2.6'!L41,'2.6'!L55,'2.6'!L69,'2.7'!M10)&lt;=L13,L13&lt;='2.1'!M10+'2.2'!L10+'2.3'!L10+'2.4'!L10+'2.5'!L13+'2.6'!L13+'2.6'!L27+'2.6'!L41+'2.6'!L55+'2.6'!L69+'2.7'!M10),"OK","Pārbaudi bērnu skaitu vīrieši")</f>
        <v>OK</v>
      </c>
    </row>
    <row r="17" spans="5:20" s="1" customFormat="1" ht="15">
      <c r="E17" s="94"/>
      <c r="O17" s="30" t="str">
        <f>IF(AND(MAX('2.1'!H11,'2.2'!G11,'2.3'!G11,'2.4'!G11,'2.5'!G14,'2.6'!G14,'2.6'!G28,'2.6'!G42,'2.6'!G56,'2.6'!G70,'2.7'!H11)&lt;=G14,G14&lt;='2.1'!H11+'2.2'!G11+'2.3'!G11+'2.4'!G11+'2.5'!G14+'2.6'!G14+'2.6'!G28+'2.6'!G42+'2.6'!G56+'2.6'!G70+'2.7'!H11),"OK","Pābaudi bērnu skaitu sievietes")</f>
        <v>OK</v>
      </c>
      <c r="P17" s="30" t="str">
        <f>IF(AND(MAX('2.1'!I11,'2.2'!H11,'2.3'!H11,'2.4'!H11,'2.5'!H14,'2.6'!H14,'2.6'!H28,'2.6'!H42,'2.6'!H56,'2.6'!H70,'2.7'!I11)&lt;=H14,H14&lt;='2.1'!I11+'2.2'!H11+'2.3'!H11+'2.4'!H11+'2.5'!H14+'2.6'!H14+'2.6'!H28+'2.6'!H42+'2.6'!H56+'2.6'!H70+'2.7'!I11),"OK","Pābaudi bērnu skaitu sievietes")</f>
        <v>OK</v>
      </c>
      <c r="Q17" s="30" t="str">
        <f>IF(AND(MAX('2.1'!J11,'2.2'!I11,'2.3'!I11,'2.4'!I11,'2.5'!I14,'2.6'!I14,'2.6'!I28,'2.6'!I42,'2.6'!I56,'2.6'!I70,'2.7'!J11)&lt;=I14,I14&lt;='2.1'!J11+'2.2'!I11+'2.3'!I11+'2.4'!I11+'2.5'!I14+'2.6'!I14+'2.6'!I28+'2.6'!I42+'2.6'!I56+'2.6'!I70+'2.7'!J11),"OK","Pābaudi bērnu skaitu sievietes")</f>
        <v>OK</v>
      </c>
      <c r="R17" s="30" t="str">
        <f>IF(AND(MAX('2.1'!K11,'2.2'!J11,'2.3'!J11,'2.4'!J11,'2.5'!J14,'2.6'!J14,'2.6'!J28,'2.6'!J42,'2.6'!J56,'2.6'!J70,'2.7'!K11)&lt;=J14,J14&lt;='2.1'!K11+'2.2'!J11+'2.3'!J11+'2.4'!J11+'2.5'!J14+'2.6'!J14+'2.6'!J28+'2.6'!J42+'2.6'!J56+'2.6'!J70+'2.7'!K11),"OK","Pābaudi bērnu skaitu sievietes")</f>
        <v>OK</v>
      </c>
      <c r="S17" s="30" t="str">
        <f>IF(AND(MAX('2.1'!L11,'2.2'!K11,'2.3'!K11,'2.4'!K11,'2.5'!K14,'2.6'!K14,'2.6'!K28,'2.6'!K42,'2.6'!K56,'2.6'!K70,'2.7'!L11)&lt;=K14,K14&lt;='2.1'!L11+'2.2'!K11+'2.3'!K11+'2.4'!K11+'2.5'!K14+'2.6'!K14+'2.6'!K28+'2.6'!K42+'2.6'!K56+'2.6'!K70+'2.7'!L11),"OK","Pābaudi bērnu skaitu sievietes")</f>
        <v>OK</v>
      </c>
      <c r="T17" s="30" t="str">
        <f>IF(AND(MAX('2.1'!M11,'2.2'!L11,'2.3'!L11,'2.4'!L11,'2.5'!L14,'2.6'!L14,'2.6'!L28,'2.6'!L42,'2.6'!L56,'2.6'!L70,'2.7'!M11)&lt;=L14,L14&lt;='2.1'!M11+'2.2'!L11+'2.3'!L11+'2.4'!L11+'2.5'!L14+'2.6'!L14+'2.6'!L28+'2.6'!L42+'2.6'!L56+'2.6'!L70+'2.7'!M11),"OK","Pābaudi bērnu skaitu sievietes")</f>
        <v>OK</v>
      </c>
    </row>
    <row r="18" spans="1:20" s="1" customFormat="1" ht="30.75" customHeight="1" thickBot="1">
      <c r="A18" s="597" t="s">
        <v>146</v>
      </c>
      <c r="B18" s="598"/>
      <c r="C18" s="598"/>
      <c r="D18" s="598"/>
      <c r="E18" s="598"/>
      <c r="F18" s="598"/>
      <c r="G18" s="598"/>
      <c r="H18" s="598"/>
      <c r="I18" s="598"/>
      <c r="J18" s="598"/>
      <c r="K18" s="598"/>
      <c r="L18" s="598"/>
      <c r="O18" s="30" t="str">
        <f>IF(AND(MAX('2.1'!H12,'2.2'!G12,'2.3'!G12,'2.4'!G12,'2.5'!G15,'2.6'!G15,'2.6'!G29,'2.6'!G43,'2.6'!G57,'2.6'!G71,'2.7'!H12)&lt;=G15,G15&lt;='2.1'!H12+'2.2'!G12+'2.3'!G12+'2.4'!G12+'2.5'!G15+'2.6'!G15+'2.6'!G29+'2.6'!G43+'2.6'!G57+'2.6'!G71+'2.7'!H12),"OK","Pārbaudi pilngadīgas personas vīrieši")</f>
        <v>OK</v>
      </c>
      <c r="P18" s="30" t="str">
        <f>IF(AND(MAX('2.1'!I12,'2.2'!H12,'2.3'!H12,'2.4'!H12,'2.5'!H15,'2.6'!H15,'2.6'!H29,'2.6'!H43,'2.6'!H57,'2.6'!H71,'2.7'!I12)&lt;=H15,H15&lt;='2.1'!I12+'2.2'!H12+'2.3'!H12+'2.4'!H12+'2.5'!H15+'2.6'!H15+'2.6'!H29+'2.6'!H43+'2.6'!H57+'2.6'!H71+'2.7'!I12),"OK","Pārbaudi pilngadīgas personas vīrieši")</f>
        <v>OK</v>
      </c>
      <c r="Q18" s="30" t="str">
        <f>IF(AND(MAX('2.1'!J12,'2.2'!I12,'2.3'!I12,'2.4'!I12,'2.5'!I15,'2.6'!I15,'2.6'!I29,'2.6'!I43,'2.6'!I57,'2.6'!I71,'2.7'!J12)&lt;=I15,I15&lt;='2.1'!J12+'2.2'!I12+'2.3'!I12+'2.4'!I12+'2.5'!I15+'2.6'!I15+'2.6'!I29+'2.6'!I43+'2.6'!I57+'2.6'!I71+'2.7'!J12),"OK","Pārbaudi pilngadīgas personas vīrieši")</f>
        <v>OK</v>
      </c>
      <c r="R18" s="30" t="str">
        <f>IF(AND(MAX('2.1'!K12,'2.2'!J12,'2.3'!J12,'2.4'!J12,'2.5'!J15,'2.6'!J15,'2.6'!J29,'2.6'!J43,'2.6'!J57,'2.6'!J71,'2.7'!K12)&lt;=J15,J15&lt;='2.1'!K12+'2.2'!J12+'2.3'!J12+'2.4'!J12+'2.5'!J15+'2.6'!J15+'2.6'!J29+'2.6'!J43+'2.6'!J57+'2.6'!J71+'2.7'!K12),"OK","Pārbaudi pilngadīgas personas vīrieši")</f>
        <v>OK</v>
      </c>
      <c r="S18" s="30" t="str">
        <f>IF(AND(MAX('2.1'!L12,'2.2'!K12,'2.3'!K12,'2.4'!K12,'2.5'!K15,'2.6'!K15,'2.6'!K29,'2.6'!K43,'2.6'!K57,'2.6'!K71,'2.7'!L12)&lt;=K15,K15&lt;='2.1'!L12+'2.2'!K12+'2.3'!K12+'2.4'!K12+'2.5'!K15+'2.6'!K15+'2.6'!K29+'2.6'!K43+'2.6'!K57+'2.6'!K71+'2.7'!L12),"OK","Pārbaudi pilngadīgas personas vīrieši")</f>
        <v>OK</v>
      </c>
      <c r="T18" s="30" t="str">
        <f>IF(AND(MAX('2.1'!M12,'2.2'!L12,'2.3'!L12,'2.4'!L12,'2.5'!L15,'2.6'!L15,'2.6'!L29,'2.6'!L43,'2.6'!L57,'2.6'!L71,'2.7'!M12)&lt;=L15,L15&lt;='2.1'!M12+'2.2'!L12+'2.3'!L12+'2.4'!L12+'2.5'!L15+'2.6'!L15+'2.6'!L29+'2.6'!L43+'2.6'!L57+'2.6'!L71+'2.7'!M12),"OK","Pārbaudi pilngadīgas personas vīrieši")</f>
        <v>OK</v>
      </c>
    </row>
    <row r="19" spans="1:20" s="30" customFormat="1" ht="15">
      <c r="A19" s="599" t="s">
        <v>17</v>
      </c>
      <c r="B19" s="600"/>
      <c r="C19" s="600"/>
      <c r="D19" s="600"/>
      <c r="E19" s="183" t="s">
        <v>819</v>
      </c>
      <c r="F19" s="600" t="s">
        <v>1329</v>
      </c>
      <c r="G19" s="600"/>
      <c r="H19" s="600"/>
      <c r="I19" s="600"/>
      <c r="J19" s="600"/>
      <c r="K19" s="600"/>
      <c r="L19" s="615"/>
      <c r="O19" s="30" t="str">
        <f>IF(AND(MAX('2.1'!H13,'2.2'!G13,'2.3'!G13,'2.4'!G13,'2.5'!G16,'2.6'!G16,'2.6'!G30,'2.6'!G44,'2.6'!G58,'2.6'!G72,'2.7'!H13)&lt;=G16,G16&lt;='2.1'!H13+'2.2'!G13+'2.3'!G13+'2.4'!G13+'2.5'!G16+'2.6'!G16+'2.6'!G30+'2.6'!G44+'2.6'!G58+'2.6'!G72+'2.7'!H13),"OK","Pārbaudi pilngadīgas personas sievietes")</f>
        <v>OK</v>
      </c>
      <c r="P19" s="30" t="str">
        <f>IF(AND(MAX('2.1'!I13,'2.2'!H13,'2.3'!H13,'2.4'!H13,'2.5'!H16,'2.6'!H16,'2.6'!H30,'2.6'!H44,'2.6'!H58,'2.6'!H72,'2.7'!I13)&lt;=H16,H16&lt;='2.1'!I13+'2.2'!H13+'2.3'!H13+'2.4'!H13+'2.5'!H16+'2.6'!H16+'2.6'!H30+'2.6'!H44+'2.6'!H58+'2.6'!H72+'2.7'!I13),"OK","Pārbaudi pilngadīgas personas sievietes")</f>
        <v>OK</v>
      </c>
      <c r="Q19" s="30" t="str">
        <f>IF(AND(MAX('2.1'!J13,'2.2'!I13,'2.3'!I13,'2.4'!I13,'2.5'!I16,'2.6'!I16,'2.6'!I30,'2.6'!I44,'2.6'!I58,'2.6'!I72,'2.7'!J13)&lt;=I16,I16&lt;='2.1'!J13+'2.2'!I13+'2.3'!I13+'2.4'!I13+'2.5'!I16+'2.6'!I16+'2.6'!I30+'2.6'!I44+'2.6'!I58+'2.6'!I72+'2.7'!J13),"OK","Pārbaudi pilngadīgas personas sievietes")</f>
        <v>OK</v>
      </c>
      <c r="R19" s="30" t="str">
        <f>IF(AND(MAX('2.1'!K13,'2.2'!J13,'2.3'!J13,'2.4'!J13,'2.5'!J16,'2.6'!J16,'2.6'!J30,'2.6'!J44,'2.6'!J58,'2.6'!J72,'2.7'!K13)&lt;=J16,J16&lt;='2.1'!K13+'2.2'!J13+'2.3'!J13+'2.4'!J13+'2.5'!J16+'2.6'!J16+'2.6'!J30+'2.6'!J44+'2.6'!J58+'2.6'!J72+'2.7'!K13),"OK","Pārbaudi pilngadīgas personas sievietes")</f>
        <v>OK</v>
      </c>
      <c r="S19" s="30" t="str">
        <f>IF(AND(MAX('2.1'!L13,'2.2'!K13,'2.3'!K13,'2.4'!K13,'2.5'!K16,'2.6'!K16,'2.6'!K30,'2.6'!K44,'2.6'!K58,'2.6'!K72,'2.7'!L13)&lt;=K16,K16&lt;='2.1'!L13+'2.2'!K13+'2.3'!K13+'2.4'!K13+'2.5'!K16+'2.6'!K16+'2.6'!K30+'2.6'!K44+'2.6'!K58+'2.6'!K72+'2.7'!L13),"OK","Pārbaudi pilngadīgas personas sievietes")</f>
        <v>OK</v>
      </c>
      <c r="T19" s="30" t="str">
        <f>IF(AND(MAX('2.1'!M13,'2.2'!L13,'2.3'!L13,'2.4'!L13,'2.5'!L16,'2.6'!L16,'2.6'!L30,'2.6'!L44,'2.6'!L58,'2.6'!L72,'2.7'!M13)&lt;=L16,L16&lt;='2.1'!M13+'2.2'!L13+'2.3'!L13+'2.4'!L13+'2.5'!L16+'2.6'!L16+'2.6'!L30+'2.6'!L44+'2.6'!L58+'2.6'!L72+'2.7'!M13),"OK","Pārbaudi pilngadīgas personas sievietes")</f>
        <v>OK</v>
      </c>
    </row>
    <row r="20" spans="1:14" s="30" customFormat="1" ht="15">
      <c r="A20" s="596" t="s">
        <v>147</v>
      </c>
      <c r="B20" s="588"/>
      <c r="C20" s="588"/>
      <c r="D20" s="588"/>
      <c r="E20" s="184" t="s">
        <v>820</v>
      </c>
      <c r="F20" s="588" t="s">
        <v>1330</v>
      </c>
      <c r="G20" s="588"/>
      <c r="H20" s="588"/>
      <c r="I20" s="588"/>
      <c r="J20" s="588"/>
      <c r="K20" s="588"/>
      <c r="L20" s="589"/>
      <c r="N20" s="1"/>
    </row>
    <row r="21" spans="1:15" s="30" customFormat="1" ht="15">
      <c r="A21" s="596" t="s">
        <v>148</v>
      </c>
      <c r="B21" s="588"/>
      <c r="C21" s="588"/>
      <c r="D21" s="588"/>
      <c r="E21" s="184" t="s">
        <v>821</v>
      </c>
      <c r="F21" s="590">
        <v>5</v>
      </c>
      <c r="G21" s="591"/>
      <c r="H21" s="591"/>
      <c r="I21" s="591"/>
      <c r="J21" s="591"/>
      <c r="K21" s="591"/>
      <c r="L21" s="592"/>
      <c r="N21" s="122"/>
      <c r="O21" s="231"/>
    </row>
    <row r="22" spans="1:15" s="30" customFormat="1" ht="15.75" thickBot="1">
      <c r="A22" s="601" t="s">
        <v>149</v>
      </c>
      <c r="B22" s="602"/>
      <c r="C22" s="602"/>
      <c r="D22" s="602"/>
      <c r="E22" s="185" t="s">
        <v>828</v>
      </c>
      <c r="F22" s="593">
        <v>1</v>
      </c>
      <c r="G22" s="594"/>
      <c r="H22" s="594"/>
      <c r="I22" s="594"/>
      <c r="J22" s="594"/>
      <c r="K22" s="594"/>
      <c r="L22" s="595"/>
      <c r="N22" s="235">
        <f>F21+F26+F31+F36+F41+F46+F51+F56+F61+F66+F71+F76+F81+F86+F91+F96+F101+F106+F111+F116+F121+F126+F131+F136+F141+F146+F151+F156</f>
        <v>7</v>
      </c>
      <c r="O22" s="231"/>
    </row>
    <row r="23" spans="1:15" s="1" customFormat="1" ht="13.5" thickBot="1">
      <c r="A23" s="175"/>
      <c r="B23" s="175"/>
      <c r="C23" s="175"/>
      <c r="D23" s="175"/>
      <c r="E23" s="176"/>
      <c r="F23" s="175"/>
      <c r="G23" s="175"/>
      <c r="H23" s="175"/>
      <c r="I23" s="175"/>
      <c r="J23" s="175"/>
      <c r="K23" s="175"/>
      <c r="L23" s="175"/>
      <c r="N23" s="235">
        <f>F22+F27+F32+F37+F42+F47+F52+F57+F62+F67+F72+F77+F82+F87+F92+F97+F102+F107+F112+F117+F122+F127+F132+F137+F142+F147+F152+F157</f>
        <v>2</v>
      </c>
      <c r="O23" s="122"/>
    </row>
    <row r="24" spans="1:15" s="1" customFormat="1" ht="15">
      <c r="A24" s="599" t="s">
        <v>17</v>
      </c>
      <c r="B24" s="600"/>
      <c r="C24" s="600"/>
      <c r="D24" s="600"/>
      <c r="E24" s="183" t="s">
        <v>822</v>
      </c>
      <c r="F24" s="600" t="s">
        <v>1331</v>
      </c>
      <c r="G24" s="600"/>
      <c r="H24" s="600"/>
      <c r="I24" s="600"/>
      <c r="J24" s="600"/>
      <c r="K24" s="600"/>
      <c r="L24" s="615"/>
      <c r="N24" s="122"/>
      <c r="O24" s="122"/>
    </row>
    <row r="25" spans="1:15" s="1" customFormat="1" ht="15">
      <c r="A25" s="596" t="s">
        <v>147</v>
      </c>
      <c r="B25" s="588"/>
      <c r="C25" s="588"/>
      <c r="D25" s="588"/>
      <c r="E25" s="184" t="s">
        <v>823</v>
      </c>
      <c r="F25" s="588" t="s">
        <v>1332</v>
      </c>
      <c r="G25" s="588"/>
      <c r="H25" s="588"/>
      <c r="I25" s="588"/>
      <c r="J25" s="588"/>
      <c r="K25" s="588"/>
      <c r="L25" s="589"/>
      <c r="N25" s="122"/>
      <c r="O25" s="122"/>
    </row>
    <row r="26" spans="1:12" s="1" customFormat="1" ht="15">
      <c r="A26" s="596" t="s">
        <v>148</v>
      </c>
      <c r="B26" s="588"/>
      <c r="C26" s="588"/>
      <c r="D26" s="588"/>
      <c r="E26" s="184" t="s">
        <v>824</v>
      </c>
      <c r="F26" s="588">
        <v>2</v>
      </c>
      <c r="G26" s="588"/>
      <c r="H26" s="588"/>
      <c r="I26" s="588"/>
      <c r="J26" s="588"/>
      <c r="K26" s="588"/>
      <c r="L26" s="589"/>
    </row>
    <row r="27" spans="1:12" s="1" customFormat="1" ht="15.75" thickBot="1">
      <c r="A27" s="601" t="s">
        <v>149</v>
      </c>
      <c r="B27" s="602"/>
      <c r="C27" s="602"/>
      <c r="D27" s="602"/>
      <c r="E27" s="185" t="s">
        <v>829</v>
      </c>
      <c r="F27" s="602">
        <v>1</v>
      </c>
      <c r="G27" s="602"/>
      <c r="H27" s="602"/>
      <c r="I27" s="602"/>
      <c r="J27" s="602"/>
      <c r="K27" s="602"/>
      <c r="L27" s="603"/>
    </row>
    <row r="28" spans="1:12" s="1" customFormat="1" ht="13.5" thickBot="1">
      <c r="A28" s="175"/>
      <c r="B28" s="175"/>
      <c r="C28" s="175"/>
      <c r="D28" s="175"/>
      <c r="E28" s="176"/>
      <c r="F28" s="175"/>
      <c r="G28" s="175"/>
      <c r="H28" s="175"/>
      <c r="I28" s="175"/>
      <c r="J28" s="175"/>
      <c r="K28" s="175"/>
      <c r="L28" s="175"/>
    </row>
    <row r="29" spans="1:12" s="1" customFormat="1" ht="15">
      <c r="A29" s="599" t="s">
        <v>17</v>
      </c>
      <c r="B29" s="600"/>
      <c r="C29" s="600"/>
      <c r="D29" s="600"/>
      <c r="E29" s="183" t="s">
        <v>825</v>
      </c>
      <c r="F29" s="600"/>
      <c r="G29" s="600"/>
      <c r="H29" s="600"/>
      <c r="I29" s="600"/>
      <c r="J29" s="600"/>
      <c r="K29" s="600"/>
      <c r="L29" s="615"/>
    </row>
    <row r="30" spans="1:12" s="1" customFormat="1" ht="15">
      <c r="A30" s="596" t="s">
        <v>147</v>
      </c>
      <c r="B30" s="588"/>
      <c r="C30" s="588"/>
      <c r="D30" s="588"/>
      <c r="E30" s="184" t="s">
        <v>826</v>
      </c>
      <c r="F30" s="588"/>
      <c r="G30" s="588"/>
      <c r="H30" s="588"/>
      <c r="I30" s="588"/>
      <c r="J30" s="588"/>
      <c r="K30" s="588"/>
      <c r="L30" s="589"/>
    </row>
    <row r="31" spans="1:12" s="1" customFormat="1" ht="15">
      <c r="A31" s="596" t="s">
        <v>148</v>
      </c>
      <c r="B31" s="588"/>
      <c r="C31" s="588"/>
      <c r="D31" s="588"/>
      <c r="E31" s="184" t="s">
        <v>827</v>
      </c>
      <c r="F31" s="588"/>
      <c r="G31" s="588"/>
      <c r="H31" s="588"/>
      <c r="I31" s="588"/>
      <c r="J31" s="588"/>
      <c r="K31" s="588"/>
      <c r="L31" s="589"/>
    </row>
    <row r="32" spans="1:12" s="1" customFormat="1" ht="15.75" thickBot="1">
      <c r="A32" s="601" t="s">
        <v>149</v>
      </c>
      <c r="B32" s="602"/>
      <c r="C32" s="602"/>
      <c r="D32" s="602"/>
      <c r="E32" s="185" t="s">
        <v>830</v>
      </c>
      <c r="F32" s="602"/>
      <c r="G32" s="602"/>
      <c r="H32" s="602"/>
      <c r="I32" s="602"/>
      <c r="J32" s="602"/>
      <c r="K32" s="602"/>
      <c r="L32" s="603"/>
    </row>
    <row r="33" spans="1:12" s="1" customFormat="1" ht="13.5" thickBot="1">
      <c r="A33" s="175"/>
      <c r="B33" s="175"/>
      <c r="C33" s="175"/>
      <c r="D33" s="175"/>
      <c r="E33" s="176"/>
      <c r="F33" s="175"/>
      <c r="G33" s="175"/>
      <c r="H33" s="175"/>
      <c r="I33" s="175"/>
      <c r="J33" s="175"/>
      <c r="K33" s="175"/>
      <c r="L33" s="175"/>
    </row>
    <row r="34" spans="1:12" s="1" customFormat="1" ht="15">
      <c r="A34" s="599" t="s">
        <v>17</v>
      </c>
      <c r="B34" s="600"/>
      <c r="C34" s="600"/>
      <c r="D34" s="600"/>
      <c r="E34" s="183" t="s">
        <v>831</v>
      </c>
      <c r="F34" s="600"/>
      <c r="G34" s="600"/>
      <c r="H34" s="600"/>
      <c r="I34" s="600"/>
      <c r="J34" s="600"/>
      <c r="K34" s="600"/>
      <c r="L34" s="615"/>
    </row>
    <row r="35" spans="1:12" s="1" customFormat="1" ht="15">
      <c r="A35" s="596" t="s">
        <v>147</v>
      </c>
      <c r="B35" s="588"/>
      <c r="C35" s="588"/>
      <c r="D35" s="588"/>
      <c r="E35" s="184" t="s">
        <v>832</v>
      </c>
      <c r="F35" s="588"/>
      <c r="G35" s="588"/>
      <c r="H35" s="588"/>
      <c r="I35" s="588"/>
      <c r="J35" s="588"/>
      <c r="K35" s="588"/>
      <c r="L35" s="589"/>
    </row>
    <row r="36" spans="1:12" s="1" customFormat="1" ht="15">
      <c r="A36" s="596" t="s">
        <v>148</v>
      </c>
      <c r="B36" s="588"/>
      <c r="C36" s="588"/>
      <c r="D36" s="588"/>
      <c r="E36" s="184" t="s">
        <v>833</v>
      </c>
      <c r="F36" s="588"/>
      <c r="G36" s="588"/>
      <c r="H36" s="588"/>
      <c r="I36" s="588"/>
      <c r="J36" s="588"/>
      <c r="K36" s="588"/>
      <c r="L36" s="589"/>
    </row>
    <row r="37" spans="1:12" ht="15.75" thickBot="1">
      <c r="A37" s="601" t="s">
        <v>149</v>
      </c>
      <c r="B37" s="602"/>
      <c r="C37" s="602"/>
      <c r="D37" s="602"/>
      <c r="E37" s="185" t="s">
        <v>834</v>
      </c>
      <c r="F37" s="602"/>
      <c r="G37" s="602"/>
      <c r="H37" s="602"/>
      <c r="I37" s="602"/>
      <c r="J37" s="602"/>
      <c r="K37" s="602"/>
      <c r="L37" s="603"/>
    </row>
    <row r="38" spans="1:12" ht="13.5" thickBot="1">
      <c r="A38" s="173"/>
      <c r="B38" s="173"/>
      <c r="C38" s="173"/>
      <c r="D38" s="173"/>
      <c r="E38" s="174"/>
      <c r="F38" s="173"/>
      <c r="G38" s="173"/>
      <c r="H38" s="173"/>
      <c r="I38" s="173"/>
      <c r="J38" s="173"/>
      <c r="K38" s="173"/>
      <c r="L38" s="173"/>
    </row>
    <row r="39" spans="1:12" ht="15">
      <c r="A39" s="599" t="s">
        <v>17</v>
      </c>
      <c r="B39" s="600"/>
      <c r="C39" s="600"/>
      <c r="D39" s="600"/>
      <c r="E39" s="183" t="s">
        <v>835</v>
      </c>
      <c r="F39" s="600"/>
      <c r="G39" s="600"/>
      <c r="H39" s="600"/>
      <c r="I39" s="600"/>
      <c r="J39" s="600"/>
      <c r="K39" s="600"/>
      <c r="L39" s="615"/>
    </row>
    <row r="40" spans="1:12" ht="15">
      <c r="A40" s="596" t="s">
        <v>147</v>
      </c>
      <c r="B40" s="588"/>
      <c r="C40" s="588"/>
      <c r="D40" s="588"/>
      <c r="E40" s="184" t="s">
        <v>836</v>
      </c>
      <c r="F40" s="588"/>
      <c r="G40" s="588"/>
      <c r="H40" s="588"/>
      <c r="I40" s="588"/>
      <c r="J40" s="588"/>
      <c r="K40" s="588"/>
      <c r="L40" s="589"/>
    </row>
    <row r="41" spans="1:12" ht="15">
      <c r="A41" s="596" t="s">
        <v>148</v>
      </c>
      <c r="B41" s="588"/>
      <c r="C41" s="588"/>
      <c r="D41" s="588"/>
      <c r="E41" s="184" t="s">
        <v>837</v>
      </c>
      <c r="F41" s="588"/>
      <c r="G41" s="588"/>
      <c r="H41" s="588"/>
      <c r="I41" s="588"/>
      <c r="J41" s="588"/>
      <c r="K41" s="588"/>
      <c r="L41" s="589"/>
    </row>
    <row r="42" spans="1:12" ht="15.75" thickBot="1">
      <c r="A42" s="601" t="s">
        <v>149</v>
      </c>
      <c r="B42" s="602"/>
      <c r="C42" s="602"/>
      <c r="D42" s="602"/>
      <c r="E42" s="185" t="s">
        <v>838</v>
      </c>
      <c r="F42" s="602"/>
      <c r="G42" s="602"/>
      <c r="H42" s="602"/>
      <c r="I42" s="602"/>
      <c r="J42" s="602"/>
      <c r="K42" s="602"/>
      <c r="L42" s="603"/>
    </row>
    <row r="43" spans="1:12" ht="13.5" thickBot="1">
      <c r="A43" s="173"/>
      <c r="B43" s="173"/>
      <c r="C43" s="173"/>
      <c r="D43" s="173"/>
      <c r="E43" s="174"/>
      <c r="F43" s="173"/>
      <c r="G43" s="173"/>
      <c r="H43" s="173"/>
      <c r="I43" s="173"/>
      <c r="J43" s="173"/>
      <c r="K43" s="173"/>
      <c r="L43" s="173"/>
    </row>
    <row r="44" spans="1:12" ht="15">
      <c r="A44" s="599" t="s">
        <v>17</v>
      </c>
      <c r="B44" s="600"/>
      <c r="C44" s="600"/>
      <c r="D44" s="600"/>
      <c r="E44" s="183" t="s">
        <v>839</v>
      </c>
      <c r="F44" s="600"/>
      <c r="G44" s="600"/>
      <c r="H44" s="600"/>
      <c r="I44" s="600"/>
      <c r="J44" s="600"/>
      <c r="K44" s="600"/>
      <c r="L44" s="615"/>
    </row>
    <row r="45" spans="1:12" ht="15">
      <c r="A45" s="596" t="s">
        <v>147</v>
      </c>
      <c r="B45" s="588"/>
      <c r="C45" s="588"/>
      <c r="D45" s="588"/>
      <c r="E45" s="184" t="s">
        <v>840</v>
      </c>
      <c r="F45" s="588"/>
      <c r="G45" s="588"/>
      <c r="H45" s="588"/>
      <c r="I45" s="588"/>
      <c r="J45" s="588"/>
      <c r="K45" s="588"/>
      <c r="L45" s="589"/>
    </row>
    <row r="46" spans="1:12" ht="15">
      <c r="A46" s="596" t="s">
        <v>148</v>
      </c>
      <c r="B46" s="588"/>
      <c r="C46" s="588"/>
      <c r="D46" s="588"/>
      <c r="E46" s="184" t="s">
        <v>841</v>
      </c>
      <c r="F46" s="588"/>
      <c r="G46" s="588"/>
      <c r="H46" s="588"/>
      <c r="I46" s="588"/>
      <c r="J46" s="588"/>
      <c r="K46" s="588"/>
      <c r="L46" s="589"/>
    </row>
    <row r="47" spans="1:12" ht="15.75" thickBot="1">
      <c r="A47" s="601" t="s">
        <v>149</v>
      </c>
      <c r="B47" s="602"/>
      <c r="C47" s="602"/>
      <c r="D47" s="602"/>
      <c r="E47" s="185" t="s">
        <v>842</v>
      </c>
      <c r="F47" s="602"/>
      <c r="G47" s="602"/>
      <c r="H47" s="602"/>
      <c r="I47" s="602"/>
      <c r="J47" s="602"/>
      <c r="K47" s="602"/>
      <c r="L47" s="603"/>
    </row>
    <row r="48" spans="1:12" ht="13.5" thickBot="1">
      <c r="A48" s="173"/>
      <c r="B48" s="173"/>
      <c r="C48" s="173"/>
      <c r="D48" s="173"/>
      <c r="E48" s="174"/>
      <c r="F48" s="173"/>
      <c r="G48" s="173"/>
      <c r="H48" s="173"/>
      <c r="I48" s="173"/>
      <c r="J48" s="173"/>
      <c r="K48" s="173"/>
      <c r="L48" s="173"/>
    </row>
    <row r="49" spans="1:12" ht="15">
      <c r="A49" s="599" t="s">
        <v>17</v>
      </c>
      <c r="B49" s="600"/>
      <c r="C49" s="600"/>
      <c r="D49" s="600"/>
      <c r="E49" s="183" t="s">
        <v>843</v>
      </c>
      <c r="F49" s="600"/>
      <c r="G49" s="600"/>
      <c r="H49" s="600"/>
      <c r="I49" s="600"/>
      <c r="J49" s="600"/>
      <c r="K49" s="600"/>
      <c r="L49" s="615"/>
    </row>
    <row r="50" spans="1:12" ht="15">
      <c r="A50" s="596" t="s">
        <v>147</v>
      </c>
      <c r="B50" s="588"/>
      <c r="C50" s="588"/>
      <c r="D50" s="588"/>
      <c r="E50" s="184" t="s">
        <v>844</v>
      </c>
      <c r="F50" s="588"/>
      <c r="G50" s="588"/>
      <c r="H50" s="588"/>
      <c r="I50" s="588"/>
      <c r="J50" s="588"/>
      <c r="K50" s="588"/>
      <c r="L50" s="589"/>
    </row>
    <row r="51" spans="1:12" ht="15">
      <c r="A51" s="596" t="s">
        <v>148</v>
      </c>
      <c r="B51" s="588"/>
      <c r="C51" s="588"/>
      <c r="D51" s="588"/>
      <c r="E51" s="184" t="s">
        <v>845</v>
      </c>
      <c r="F51" s="588"/>
      <c r="G51" s="588"/>
      <c r="H51" s="588"/>
      <c r="I51" s="588"/>
      <c r="J51" s="588"/>
      <c r="K51" s="588"/>
      <c r="L51" s="589"/>
    </row>
    <row r="52" spans="1:12" ht="15.75" thickBot="1">
      <c r="A52" s="601" t="s">
        <v>149</v>
      </c>
      <c r="B52" s="602"/>
      <c r="C52" s="602"/>
      <c r="D52" s="602"/>
      <c r="E52" s="185" t="s">
        <v>846</v>
      </c>
      <c r="F52" s="602"/>
      <c r="G52" s="602"/>
      <c r="H52" s="602"/>
      <c r="I52" s="602"/>
      <c r="J52" s="602"/>
      <c r="K52" s="602"/>
      <c r="L52" s="603"/>
    </row>
    <row r="53" spans="1:12" ht="15.75" customHeight="1" thickBot="1">
      <c r="A53" s="597"/>
      <c r="B53" s="598"/>
      <c r="C53" s="598"/>
      <c r="D53" s="598"/>
      <c r="E53" s="598"/>
      <c r="F53" s="598"/>
      <c r="G53" s="598"/>
      <c r="H53" s="598"/>
      <c r="I53" s="598"/>
      <c r="J53" s="598"/>
      <c r="K53" s="598"/>
      <c r="L53" s="598"/>
    </row>
    <row r="54" spans="1:12" ht="15">
      <c r="A54" s="599" t="s">
        <v>17</v>
      </c>
      <c r="B54" s="600"/>
      <c r="C54" s="600"/>
      <c r="D54" s="600"/>
      <c r="E54" s="183" t="s">
        <v>849</v>
      </c>
      <c r="F54" s="600"/>
      <c r="G54" s="600"/>
      <c r="H54" s="600"/>
      <c r="I54" s="600"/>
      <c r="J54" s="600"/>
      <c r="K54" s="600"/>
      <c r="L54" s="615"/>
    </row>
    <row r="55" spans="1:12" ht="15">
      <c r="A55" s="596" t="s">
        <v>147</v>
      </c>
      <c r="B55" s="588"/>
      <c r="C55" s="588"/>
      <c r="D55" s="588"/>
      <c r="E55" s="184" t="s">
        <v>850</v>
      </c>
      <c r="F55" s="588"/>
      <c r="G55" s="588"/>
      <c r="H55" s="588"/>
      <c r="I55" s="588"/>
      <c r="J55" s="588"/>
      <c r="K55" s="588"/>
      <c r="L55" s="589"/>
    </row>
    <row r="56" spans="1:12" ht="15">
      <c r="A56" s="596" t="s">
        <v>148</v>
      </c>
      <c r="B56" s="588"/>
      <c r="C56" s="588"/>
      <c r="D56" s="588"/>
      <c r="E56" s="184" t="s">
        <v>851</v>
      </c>
      <c r="F56" s="590"/>
      <c r="G56" s="591"/>
      <c r="H56" s="591"/>
      <c r="I56" s="591"/>
      <c r="J56" s="591"/>
      <c r="K56" s="591"/>
      <c r="L56" s="592"/>
    </row>
    <row r="57" spans="1:12" ht="15.75" thickBot="1">
      <c r="A57" s="601" t="s">
        <v>149</v>
      </c>
      <c r="B57" s="602"/>
      <c r="C57" s="602"/>
      <c r="D57" s="602"/>
      <c r="E57" s="185" t="s">
        <v>867</v>
      </c>
      <c r="F57" s="593"/>
      <c r="G57" s="594"/>
      <c r="H57" s="594"/>
      <c r="I57" s="594"/>
      <c r="J57" s="594"/>
      <c r="K57" s="594"/>
      <c r="L57" s="595"/>
    </row>
    <row r="58" spans="1:12" ht="13.5" thickBot="1">
      <c r="A58" s="175"/>
      <c r="B58" s="175"/>
      <c r="C58" s="175"/>
      <c r="D58" s="175"/>
      <c r="E58" s="176"/>
      <c r="F58" s="175"/>
      <c r="G58" s="175"/>
      <c r="H58" s="175"/>
      <c r="I58" s="175"/>
      <c r="J58" s="175"/>
      <c r="K58" s="175"/>
      <c r="L58" s="175"/>
    </row>
    <row r="59" spans="1:12" ht="15">
      <c r="A59" s="599" t="s">
        <v>17</v>
      </c>
      <c r="B59" s="600"/>
      <c r="C59" s="600"/>
      <c r="D59" s="600"/>
      <c r="E59" s="183" t="s">
        <v>853</v>
      </c>
      <c r="F59" s="600"/>
      <c r="G59" s="600"/>
      <c r="H59" s="600"/>
      <c r="I59" s="600"/>
      <c r="J59" s="600"/>
      <c r="K59" s="600"/>
      <c r="L59" s="615"/>
    </row>
    <row r="60" spans="1:12" ht="15">
      <c r="A60" s="596" t="s">
        <v>147</v>
      </c>
      <c r="B60" s="588"/>
      <c r="C60" s="588"/>
      <c r="D60" s="588"/>
      <c r="E60" s="184" t="s">
        <v>854</v>
      </c>
      <c r="F60" s="588"/>
      <c r="G60" s="588"/>
      <c r="H60" s="588"/>
      <c r="I60" s="588"/>
      <c r="J60" s="588"/>
      <c r="K60" s="588"/>
      <c r="L60" s="589"/>
    </row>
    <row r="61" spans="1:12" ht="15">
      <c r="A61" s="596" t="s">
        <v>148</v>
      </c>
      <c r="B61" s="588"/>
      <c r="C61" s="588"/>
      <c r="D61" s="588"/>
      <c r="E61" s="184" t="s">
        <v>855</v>
      </c>
      <c r="F61" s="588"/>
      <c r="G61" s="588"/>
      <c r="H61" s="588"/>
      <c r="I61" s="588"/>
      <c r="J61" s="588"/>
      <c r="K61" s="588"/>
      <c r="L61" s="589"/>
    </row>
    <row r="62" spans="1:12" ht="15.75" thickBot="1">
      <c r="A62" s="601" t="s">
        <v>149</v>
      </c>
      <c r="B62" s="602"/>
      <c r="C62" s="602"/>
      <c r="D62" s="602"/>
      <c r="E62" s="185" t="s">
        <v>860</v>
      </c>
      <c r="F62" s="602"/>
      <c r="G62" s="602"/>
      <c r="H62" s="602"/>
      <c r="I62" s="602"/>
      <c r="J62" s="602"/>
      <c r="K62" s="602"/>
      <c r="L62" s="603"/>
    </row>
    <row r="63" spans="1:12" ht="13.5" thickBot="1">
      <c r="A63" s="175"/>
      <c r="B63" s="175"/>
      <c r="C63" s="175"/>
      <c r="D63" s="175"/>
      <c r="E63" s="176"/>
      <c r="F63" s="175"/>
      <c r="G63" s="175"/>
      <c r="H63" s="175"/>
      <c r="I63" s="175"/>
      <c r="J63" s="175"/>
      <c r="K63" s="175"/>
      <c r="L63" s="175"/>
    </row>
    <row r="64" spans="1:12" ht="15">
      <c r="A64" s="599" t="s">
        <v>17</v>
      </c>
      <c r="B64" s="600"/>
      <c r="C64" s="600"/>
      <c r="D64" s="600"/>
      <c r="E64" s="183" t="s">
        <v>856</v>
      </c>
      <c r="F64" s="600"/>
      <c r="G64" s="600"/>
      <c r="H64" s="600"/>
      <c r="I64" s="600"/>
      <c r="J64" s="600"/>
      <c r="K64" s="600"/>
      <c r="L64" s="615"/>
    </row>
    <row r="65" spans="1:12" ht="15">
      <c r="A65" s="596" t="s">
        <v>147</v>
      </c>
      <c r="B65" s="588"/>
      <c r="C65" s="588"/>
      <c r="D65" s="588"/>
      <c r="E65" s="184" t="s">
        <v>857</v>
      </c>
      <c r="F65" s="588"/>
      <c r="G65" s="588"/>
      <c r="H65" s="588"/>
      <c r="I65" s="588"/>
      <c r="J65" s="588"/>
      <c r="K65" s="588"/>
      <c r="L65" s="589"/>
    </row>
    <row r="66" spans="1:12" ht="15">
      <c r="A66" s="596" t="s">
        <v>148</v>
      </c>
      <c r="B66" s="588"/>
      <c r="C66" s="588"/>
      <c r="D66" s="588"/>
      <c r="E66" s="184" t="s">
        <v>858</v>
      </c>
      <c r="F66" s="588"/>
      <c r="G66" s="588"/>
      <c r="H66" s="588"/>
      <c r="I66" s="588"/>
      <c r="J66" s="588"/>
      <c r="K66" s="588"/>
      <c r="L66" s="589"/>
    </row>
    <row r="67" spans="1:12" ht="15.75" thickBot="1">
      <c r="A67" s="601" t="s">
        <v>149</v>
      </c>
      <c r="B67" s="602"/>
      <c r="C67" s="602"/>
      <c r="D67" s="602"/>
      <c r="E67" s="185" t="s">
        <v>859</v>
      </c>
      <c r="F67" s="602"/>
      <c r="G67" s="602"/>
      <c r="H67" s="602"/>
      <c r="I67" s="602"/>
      <c r="J67" s="602"/>
      <c r="K67" s="602"/>
      <c r="L67" s="603"/>
    </row>
    <row r="68" spans="1:12" ht="13.5" thickBot="1">
      <c r="A68" s="175"/>
      <c r="B68" s="175"/>
      <c r="C68" s="175"/>
      <c r="D68" s="175"/>
      <c r="E68" s="176"/>
      <c r="F68" s="175"/>
      <c r="G68" s="175"/>
      <c r="H68" s="175"/>
      <c r="I68" s="175"/>
      <c r="J68" s="175"/>
      <c r="K68" s="175"/>
      <c r="L68" s="175"/>
    </row>
    <row r="69" spans="1:12" ht="15">
      <c r="A69" s="599" t="s">
        <v>17</v>
      </c>
      <c r="B69" s="600"/>
      <c r="C69" s="600"/>
      <c r="D69" s="600"/>
      <c r="E69" s="183" t="s">
        <v>861</v>
      </c>
      <c r="F69" s="600"/>
      <c r="G69" s="600"/>
      <c r="H69" s="600"/>
      <c r="I69" s="600"/>
      <c r="J69" s="600"/>
      <c r="K69" s="600"/>
      <c r="L69" s="615"/>
    </row>
    <row r="70" spans="1:12" ht="15">
      <c r="A70" s="596" t="s">
        <v>147</v>
      </c>
      <c r="B70" s="588"/>
      <c r="C70" s="588"/>
      <c r="D70" s="588"/>
      <c r="E70" s="184" t="s">
        <v>862</v>
      </c>
      <c r="F70" s="588"/>
      <c r="G70" s="588"/>
      <c r="H70" s="588"/>
      <c r="I70" s="588"/>
      <c r="J70" s="588"/>
      <c r="K70" s="588"/>
      <c r="L70" s="589"/>
    </row>
    <row r="71" spans="1:12" ht="15">
      <c r="A71" s="596" t="s">
        <v>148</v>
      </c>
      <c r="B71" s="588"/>
      <c r="C71" s="588"/>
      <c r="D71" s="588"/>
      <c r="E71" s="184" t="s">
        <v>828</v>
      </c>
      <c r="F71" s="588"/>
      <c r="G71" s="588"/>
      <c r="H71" s="588"/>
      <c r="I71" s="588"/>
      <c r="J71" s="588"/>
      <c r="K71" s="588"/>
      <c r="L71" s="589"/>
    </row>
    <row r="72" spans="1:12" ht="15.75" thickBot="1">
      <c r="A72" s="601" t="s">
        <v>149</v>
      </c>
      <c r="B72" s="602"/>
      <c r="C72" s="602"/>
      <c r="D72" s="602"/>
      <c r="E72" s="185" t="s">
        <v>863</v>
      </c>
      <c r="F72" s="602"/>
      <c r="G72" s="602"/>
      <c r="H72" s="602"/>
      <c r="I72" s="602"/>
      <c r="J72" s="602"/>
      <c r="K72" s="602"/>
      <c r="L72" s="603"/>
    </row>
    <row r="73" spans="1:12" ht="13.5" thickBot="1">
      <c r="A73" s="173"/>
      <c r="B73" s="173"/>
      <c r="C73" s="173"/>
      <c r="D73" s="173"/>
      <c r="E73" s="174"/>
      <c r="F73" s="173"/>
      <c r="G73" s="173"/>
      <c r="H73" s="173"/>
      <c r="I73" s="173"/>
      <c r="J73" s="173"/>
      <c r="K73" s="173"/>
      <c r="L73" s="173"/>
    </row>
    <row r="74" spans="1:12" ht="15">
      <c r="A74" s="599" t="s">
        <v>17</v>
      </c>
      <c r="B74" s="600"/>
      <c r="C74" s="600"/>
      <c r="D74" s="600"/>
      <c r="E74" s="183" t="s">
        <v>864</v>
      </c>
      <c r="F74" s="600"/>
      <c r="G74" s="600"/>
      <c r="H74" s="600"/>
      <c r="I74" s="600"/>
      <c r="J74" s="600"/>
      <c r="K74" s="600"/>
      <c r="L74" s="615"/>
    </row>
    <row r="75" spans="1:12" ht="15">
      <c r="A75" s="596" t="s">
        <v>147</v>
      </c>
      <c r="B75" s="588"/>
      <c r="C75" s="588"/>
      <c r="D75" s="588"/>
      <c r="E75" s="184" t="s">
        <v>865</v>
      </c>
      <c r="F75" s="588"/>
      <c r="G75" s="588"/>
      <c r="H75" s="588"/>
      <c r="I75" s="588"/>
      <c r="J75" s="588"/>
      <c r="K75" s="588"/>
      <c r="L75" s="589"/>
    </row>
    <row r="76" spans="1:12" ht="15">
      <c r="A76" s="596" t="s">
        <v>148</v>
      </c>
      <c r="B76" s="588"/>
      <c r="C76" s="588"/>
      <c r="D76" s="588"/>
      <c r="E76" s="184" t="s">
        <v>824</v>
      </c>
      <c r="F76" s="588"/>
      <c r="G76" s="588"/>
      <c r="H76" s="588"/>
      <c r="I76" s="588"/>
      <c r="J76" s="588"/>
      <c r="K76" s="588"/>
      <c r="L76" s="589"/>
    </row>
    <row r="77" spans="1:12" ht="15.75" thickBot="1">
      <c r="A77" s="601" t="s">
        <v>149</v>
      </c>
      <c r="B77" s="602"/>
      <c r="C77" s="602"/>
      <c r="D77" s="602"/>
      <c r="E77" s="185" t="s">
        <v>866</v>
      </c>
      <c r="F77" s="602"/>
      <c r="G77" s="602"/>
      <c r="H77" s="602"/>
      <c r="I77" s="602"/>
      <c r="J77" s="602"/>
      <c r="K77" s="602"/>
      <c r="L77" s="603"/>
    </row>
    <row r="78" spans="1:12" ht="13.5" thickBot="1">
      <c r="A78" s="173"/>
      <c r="B78" s="173"/>
      <c r="C78" s="173"/>
      <c r="D78" s="173"/>
      <c r="E78" s="174"/>
      <c r="F78" s="173"/>
      <c r="G78" s="173"/>
      <c r="H78" s="173"/>
      <c r="I78" s="173"/>
      <c r="J78" s="173"/>
      <c r="K78" s="173"/>
      <c r="L78" s="173"/>
    </row>
    <row r="79" spans="1:12" ht="15">
      <c r="A79" s="599" t="s">
        <v>17</v>
      </c>
      <c r="B79" s="600"/>
      <c r="C79" s="600"/>
      <c r="D79" s="600"/>
      <c r="E79" s="183" t="s">
        <v>868</v>
      </c>
      <c r="F79" s="600"/>
      <c r="G79" s="600"/>
      <c r="H79" s="600"/>
      <c r="I79" s="600"/>
      <c r="J79" s="600"/>
      <c r="K79" s="600"/>
      <c r="L79" s="615"/>
    </row>
    <row r="80" spans="1:12" ht="15">
      <c r="A80" s="596" t="s">
        <v>147</v>
      </c>
      <c r="B80" s="588"/>
      <c r="C80" s="588"/>
      <c r="D80" s="588"/>
      <c r="E80" s="184" t="s">
        <v>869</v>
      </c>
      <c r="F80" s="588"/>
      <c r="G80" s="588"/>
      <c r="H80" s="588"/>
      <c r="I80" s="588"/>
      <c r="J80" s="588"/>
      <c r="K80" s="588"/>
      <c r="L80" s="589"/>
    </row>
    <row r="81" spans="1:12" ht="15">
      <c r="A81" s="596" t="s">
        <v>148</v>
      </c>
      <c r="B81" s="588"/>
      <c r="C81" s="588"/>
      <c r="D81" s="588"/>
      <c r="E81" s="184" t="s">
        <v>870</v>
      </c>
      <c r="F81" s="588"/>
      <c r="G81" s="588"/>
      <c r="H81" s="588"/>
      <c r="I81" s="588"/>
      <c r="J81" s="588"/>
      <c r="K81" s="588"/>
      <c r="L81" s="589"/>
    </row>
    <row r="82" spans="1:12" ht="15.75" thickBot="1">
      <c r="A82" s="601" t="s">
        <v>149</v>
      </c>
      <c r="B82" s="602"/>
      <c r="C82" s="602"/>
      <c r="D82" s="602"/>
      <c r="E82" s="185" t="s">
        <v>871</v>
      </c>
      <c r="F82" s="602"/>
      <c r="G82" s="602"/>
      <c r="H82" s="602"/>
      <c r="I82" s="602"/>
      <c r="J82" s="602"/>
      <c r="K82" s="602"/>
      <c r="L82" s="603"/>
    </row>
    <row r="83" spans="1:12" ht="13.5" thickBot="1">
      <c r="A83" s="173"/>
      <c r="B83" s="173"/>
      <c r="C83" s="173"/>
      <c r="D83" s="173"/>
      <c r="E83" s="174"/>
      <c r="F83" s="173"/>
      <c r="G83" s="173"/>
      <c r="H83" s="173"/>
      <c r="I83" s="173"/>
      <c r="J83" s="173"/>
      <c r="K83" s="173"/>
      <c r="L83" s="173"/>
    </row>
    <row r="84" spans="1:12" ht="15">
      <c r="A84" s="599" t="s">
        <v>17</v>
      </c>
      <c r="B84" s="600"/>
      <c r="C84" s="600"/>
      <c r="D84" s="600"/>
      <c r="E84" s="183" t="s">
        <v>872</v>
      </c>
      <c r="F84" s="600"/>
      <c r="G84" s="600"/>
      <c r="H84" s="600"/>
      <c r="I84" s="600"/>
      <c r="J84" s="600"/>
      <c r="K84" s="600"/>
      <c r="L84" s="615"/>
    </row>
    <row r="85" spans="1:12" ht="15">
      <c r="A85" s="596" t="s">
        <v>147</v>
      </c>
      <c r="B85" s="588"/>
      <c r="C85" s="588"/>
      <c r="D85" s="588"/>
      <c r="E85" s="184" t="s">
        <v>873</v>
      </c>
      <c r="F85" s="588"/>
      <c r="G85" s="588"/>
      <c r="H85" s="588"/>
      <c r="I85" s="588"/>
      <c r="J85" s="588"/>
      <c r="K85" s="588"/>
      <c r="L85" s="589"/>
    </row>
    <row r="86" spans="1:12" ht="15">
      <c r="A86" s="596" t="s">
        <v>148</v>
      </c>
      <c r="B86" s="588"/>
      <c r="C86" s="588"/>
      <c r="D86" s="588"/>
      <c r="E86" s="184" t="s">
        <v>874</v>
      </c>
      <c r="F86" s="588"/>
      <c r="G86" s="588"/>
      <c r="H86" s="588"/>
      <c r="I86" s="588"/>
      <c r="J86" s="588"/>
      <c r="K86" s="588"/>
      <c r="L86" s="589"/>
    </row>
    <row r="87" spans="1:12" ht="15.75" thickBot="1">
      <c r="A87" s="601" t="s">
        <v>149</v>
      </c>
      <c r="B87" s="602"/>
      <c r="C87" s="602"/>
      <c r="D87" s="602"/>
      <c r="E87" s="185" t="s">
        <v>875</v>
      </c>
      <c r="F87" s="602"/>
      <c r="G87" s="602"/>
      <c r="H87" s="602"/>
      <c r="I87" s="602"/>
      <c r="J87" s="602"/>
      <c r="K87" s="602"/>
      <c r="L87" s="603"/>
    </row>
    <row r="88" spans="1:12" ht="15.75" thickBot="1">
      <c r="A88" s="597"/>
      <c r="B88" s="598"/>
      <c r="C88" s="598"/>
      <c r="D88" s="598"/>
      <c r="E88" s="598"/>
      <c r="F88" s="598"/>
      <c r="G88" s="598"/>
      <c r="H88" s="598"/>
      <c r="I88" s="598"/>
      <c r="J88" s="598"/>
      <c r="K88" s="598"/>
      <c r="L88" s="598"/>
    </row>
    <row r="89" spans="1:12" ht="15">
      <c r="A89" s="599" t="s">
        <v>17</v>
      </c>
      <c r="B89" s="600"/>
      <c r="C89" s="600"/>
      <c r="D89" s="600"/>
      <c r="E89" s="183" t="s">
        <v>876</v>
      </c>
      <c r="F89" s="600"/>
      <c r="G89" s="600"/>
      <c r="H89" s="600"/>
      <c r="I89" s="600"/>
      <c r="J89" s="600"/>
      <c r="K89" s="600"/>
      <c r="L89" s="615"/>
    </row>
    <row r="90" spans="1:12" ht="15">
      <c r="A90" s="596" t="s">
        <v>147</v>
      </c>
      <c r="B90" s="588"/>
      <c r="C90" s="588"/>
      <c r="D90" s="588"/>
      <c r="E90" s="184" t="s">
        <v>877</v>
      </c>
      <c r="F90" s="588"/>
      <c r="G90" s="588"/>
      <c r="H90" s="588"/>
      <c r="I90" s="588"/>
      <c r="J90" s="588"/>
      <c r="K90" s="588"/>
      <c r="L90" s="589"/>
    </row>
    <row r="91" spans="1:12" ht="15">
      <c r="A91" s="596" t="s">
        <v>148</v>
      </c>
      <c r="B91" s="588"/>
      <c r="C91" s="588"/>
      <c r="D91" s="588"/>
      <c r="E91" s="184" t="s">
        <v>878</v>
      </c>
      <c r="F91" s="590"/>
      <c r="G91" s="591"/>
      <c r="H91" s="591"/>
      <c r="I91" s="591"/>
      <c r="J91" s="591"/>
      <c r="K91" s="591"/>
      <c r="L91" s="592"/>
    </row>
    <row r="92" spans="1:12" ht="15.75" thickBot="1">
      <c r="A92" s="601" t="s">
        <v>149</v>
      </c>
      <c r="B92" s="602"/>
      <c r="C92" s="602"/>
      <c r="D92" s="602"/>
      <c r="E92" s="185" t="s">
        <v>879</v>
      </c>
      <c r="F92" s="593"/>
      <c r="G92" s="594"/>
      <c r="H92" s="594"/>
      <c r="I92" s="594"/>
      <c r="J92" s="594"/>
      <c r="K92" s="594"/>
      <c r="L92" s="595"/>
    </row>
    <row r="93" spans="1:12" ht="13.5" thickBot="1">
      <c r="A93" s="175"/>
      <c r="B93" s="175"/>
      <c r="C93" s="175"/>
      <c r="D93" s="175"/>
      <c r="E93" s="176"/>
      <c r="F93" s="175"/>
      <c r="G93" s="175"/>
      <c r="H93" s="175"/>
      <c r="I93" s="175"/>
      <c r="J93" s="175"/>
      <c r="K93" s="175"/>
      <c r="L93" s="175"/>
    </row>
    <row r="94" spans="1:12" ht="15">
      <c r="A94" s="599" t="s">
        <v>17</v>
      </c>
      <c r="B94" s="600"/>
      <c r="C94" s="600"/>
      <c r="D94" s="600"/>
      <c r="E94" s="183" t="s">
        <v>880</v>
      </c>
      <c r="F94" s="600"/>
      <c r="G94" s="600"/>
      <c r="H94" s="600"/>
      <c r="I94" s="600"/>
      <c r="J94" s="600"/>
      <c r="K94" s="600"/>
      <c r="L94" s="615"/>
    </row>
    <row r="95" spans="1:12" ht="15">
      <c r="A95" s="596" t="s">
        <v>147</v>
      </c>
      <c r="B95" s="588"/>
      <c r="C95" s="588"/>
      <c r="D95" s="588"/>
      <c r="E95" s="184" t="s">
        <v>881</v>
      </c>
      <c r="F95" s="588"/>
      <c r="G95" s="588"/>
      <c r="H95" s="588"/>
      <c r="I95" s="588"/>
      <c r="J95" s="588"/>
      <c r="K95" s="588"/>
      <c r="L95" s="589"/>
    </row>
    <row r="96" spans="1:12" ht="15">
      <c r="A96" s="596" t="s">
        <v>148</v>
      </c>
      <c r="B96" s="588"/>
      <c r="C96" s="588"/>
      <c r="D96" s="588"/>
      <c r="E96" s="184" t="s">
        <v>882</v>
      </c>
      <c r="F96" s="588"/>
      <c r="G96" s="588"/>
      <c r="H96" s="588"/>
      <c r="I96" s="588"/>
      <c r="J96" s="588"/>
      <c r="K96" s="588"/>
      <c r="L96" s="589"/>
    </row>
    <row r="97" spans="1:12" ht="15.75" thickBot="1">
      <c r="A97" s="601" t="s">
        <v>149</v>
      </c>
      <c r="B97" s="602"/>
      <c r="C97" s="602"/>
      <c r="D97" s="602"/>
      <c r="E97" s="185" t="s">
        <v>883</v>
      </c>
      <c r="F97" s="602"/>
      <c r="G97" s="602"/>
      <c r="H97" s="602"/>
      <c r="I97" s="602"/>
      <c r="J97" s="602"/>
      <c r="K97" s="602"/>
      <c r="L97" s="603"/>
    </row>
    <row r="98" spans="1:12" ht="13.5" thickBot="1">
      <c r="A98" s="175"/>
      <c r="B98" s="175"/>
      <c r="C98" s="175"/>
      <c r="D98" s="175"/>
      <c r="E98" s="176"/>
      <c r="F98" s="175"/>
      <c r="G98" s="175"/>
      <c r="H98" s="175"/>
      <c r="I98" s="175"/>
      <c r="J98" s="175"/>
      <c r="K98" s="175"/>
      <c r="L98" s="175"/>
    </row>
    <row r="99" spans="1:12" ht="15">
      <c r="A99" s="599" t="s">
        <v>17</v>
      </c>
      <c r="B99" s="600"/>
      <c r="C99" s="600"/>
      <c r="D99" s="600"/>
      <c r="E99" s="183" t="s">
        <v>884</v>
      </c>
      <c r="F99" s="600"/>
      <c r="G99" s="600"/>
      <c r="H99" s="600"/>
      <c r="I99" s="600"/>
      <c r="J99" s="600"/>
      <c r="K99" s="600"/>
      <c r="L99" s="615"/>
    </row>
    <row r="100" spans="1:12" ht="15">
      <c r="A100" s="596" t="s">
        <v>147</v>
      </c>
      <c r="B100" s="588"/>
      <c r="C100" s="588"/>
      <c r="D100" s="588"/>
      <c r="E100" s="184" t="s">
        <v>885</v>
      </c>
      <c r="F100" s="588"/>
      <c r="G100" s="588"/>
      <c r="H100" s="588"/>
      <c r="I100" s="588"/>
      <c r="J100" s="588"/>
      <c r="K100" s="588"/>
      <c r="L100" s="589"/>
    </row>
    <row r="101" spans="1:12" ht="15">
      <c r="A101" s="596" t="s">
        <v>148</v>
      </c>
      <c r="B101" s="588"/>
      <c r="C101" s="588"/>
      <c r="D101" s="588"/>
      <c r="E101" s="184" t="s">
        <v>886</v>
      </c>
      <c r="F101" s="588"/>
      <c r="G101" s="588"/>
      <c r="H101" s="588"/>
      <c r="I101" s="588"/>
      <c r="J101" s="588"/>
      <c r="K101" s="588"/>
      <c r="L101" s="589"/>
    </row>
    <row r="102" spans="1:12" ht="15.75" thickBot="1">
      <c r="A102" s="601" t="s">
        <v>149</v>
      </c>
      <c r="B102" s="602"/>
      <c r="C102" s="602"/>
      <c r="D102" s="602"/>
      <c r="E102" s="185" t="s">
        <v>887</v>
      </c>
      <c r="F102" s="602"/>
      <c r="G102" s="602"/>
      <c r="H102" s="602"/>
      <c r="I102" s="602"/>
      <c r="J102" s="602"/>
      <c r="K102" s="602"/>
      <c r="L102" s="603"/>
    </row>
    <row r="103" spans="1:12" ht="13.5" thickBot="1">
      <c r="A103" s="175"/>
      <c r="B103" s="175"/>
      <c r="C103" s="175"/>
      <c r="D103" s="175"/>
      <c r="E103" s="176"/>
      <c r="F103" s="175"/>
      <c r="G103" s="175"/>
      <c r="H103" s="175"/>
      <c r="I103" s="175"/>
      <c r="J103" s="175"/>
      <c r="K103" s="175"/>
      <c r="L103" s="175"/>
    </row>
    <row r="104" spans="1:12" ht="15">
      <c r="A104" s="599" t="s">
        <v>17</v>
      </c>
      <c r="B104" s="600"/>
      <c r="C104" s="600"/>
      <c r="D104" s="600"/>
      <c r="E104" s="183" t="s">
        <v>888</v>
      </c>
      <c r="F104" s="600"/>
      <c r="G104" s="600"/>
      <c r="H104" s="600"/>
      <c r="I104" s="600"/>
      <c r="J104" s="600"/>
      <c r="K104" s="600"/>
      <c r="L104" s="615"/>
    </row>
    <row r="105" spans="1:12" ht="15">
      <c r="A105" s="596" t="s">
        <v>147</v>
      </c>
      <c r="B105" s="588"/>
      <c r="C105" s="588"/>
      <c r="D105" s="588"/>
      <c r="E105" s="184" t="s">
        <v>889</v>
      </c>
      <c r="F105" s="588"/>
      <c r="G105" s="588"/>
      <c r="H105" s="588"/>
      <c r="I105" s="588"/>
      <c r="J105" s="588"/>
      <c r="K105" s="588"/>
      <c r="L105" s="589"/>
    </row>
    <row r="106" spans="1:12" ht="15">
      <c r="A106" s="596" t="s">
        <v>148</v>
      </c>
      <c r="B106" s="588"/>
      <c r="C106" s="588"/>
      <c r="D106" s="588"/>
      <c r="E106" s="184" t="s">
        <v>852</v>
      </c>
      <c r="F106" s="588"/>
      <c r="G106" s="588"/>
      <c r="H106" s="588"/>
      <c r="I106" s="588"/>
      <c r="J106" s="588"/>
      <c r="K106" s="588"/>
      <c r="L106" s="589"/>
    </row>
    <row r="107" spans="1:12" ht="15.75" thickBot="1">
      <c r="A107" s="601" t="s">
        <v>149</v>
      </c>
      <c r="B107" s="602"/>
      <c r="C107" s="602"/>
      <c r="D107" s="602"/>
      <c r="E107" s="185" t="s">
        <v>890</v>
      </c>
      <c r="F107" s="602"/>
      <c r="G107" s="602"/>
      <c r="H107" s="602"/>
      <c r="I107" s="602"/>
      <c r="J107" s="602"/>
      <c r="K107" s="602"/>
      <c r="L107" s="603"/>
    </row>
    <row r="108" spans="1:12" ht="13.5" thickBot="1">
      <c r="A108" s="173"/>
      <c r="B108" s="173"/>
      <c r="C108" s="173"/>
      <c r="D108" s="173"/>
      <c r="E108" s="174"/>
      <c r="F108" s="173"/>
      <c r="G108" s="173"/>
      <c r="H108" s="173"/>
      <c r="I108" s="173"/>
      <c r="J108" s="173"/>
      <c r="K108" s="173"/>
      <c r="L108" s="173"/>
    </row>
    <row r="109" spans="1:12" ht="15">
      <c r="A109" s="599" t="s">
        <v>17</v>
      </c>
      <c r="B109" s="600"/>
      <c r="C109" s="600"/>
      <c r="D109" s="600"/>
      <c r="E109" s="183" t="s">
        <v>891</v>
      </c>
      <c r="F109" s="600"/>
      <c r="G109" s="600"/>
      <c r="H109" s="600"/>
      <c r="I109" s="600"/>
      <c r="J109" s="600"/>
      <c r="K109" s="600"/>
      <c r="L109" s="615"/>
    </row>
    <row r="110" spans="1:12" ht="15">
      <c r="A110" s="596" t="s">
        <v>147</v>
      </c>
      <c r="B110" s="588"/>
      <c r="C110" s="588"/>
      <c r="D110" s="588"/>
      <c r="E110" s="184" t="s">
        <v>892</v>
      </c>
      <c r="F110" s="588"/>
      <c r="G110" s="588"/>
      <c r="H110" s="588"/>
      <c r="I110" s="588"/>
      <c r="J110" s="588"/>
      <c r="K110" s="588"/>
      <c r="L110" s="589"/>
    </row>
    <row r="111" spans="1:12" ht="15">
      <c r="A111" s="596" t="s">
        <v>148</v>
      </c>
      <c r="B111" s="588"/>
      <c r="C111" s="588"/>
      <c r="D111" s="588"/>
      <c r="E111" s="184" t="s">
        <v>893</v>
      </c>
      <c r="F111" s="588"/>
      <c r="G111" s="588"/>
      <c r="H111" s="588"/>
      <c r="I111" s="588"/>
      <c r="J111" s="588"/>
      <c r="K111" s="588"/>
      <c r="L111" s="589"/>
    </row>
    <row r="112" spans="1:12" ht="15.75" thickBot="1">
      <c r="A112" s="601" t="s">
        <v>149</v>
      </c>
      <c r="B112" s="602"/>
      <c r="C112" s="602"/>
      <c r="D112" s="602"/>
      <c r="E112" s="185" t="s">
        <v>894</v>
      </c>
      <c r="F112" s="602"/>
      <c r="G112" s="602"/>
      <c r="H112" s="602"/>
      <c r="I112" s="602"/>
      <c r="J112" s="602"/>
      <c r="K112" s="602"/>
      <c r="L112" s="603"/>
    </row>
    <row r="113" spans="1:12" ht="13.5" thickBot="1">
      <c r="A113" s="173"/>
      <c r="B113" s="173"/>
      <c r="C113" s="173"/>
      <c r="D113" s="173"/>
      <c r="E113" s="174"/>
      <c r="F113" s="173"/>
      <c r="G113" s="173"/>
      <c r="H113" s="173"/>
      <c r="I113" s="173"/>
      <c r="J113" s="173"/>
      <c r="K113" s="173"/>
      <c r="L113" s="173"/>
    </row>
    <row r="114" spans="1:12" ht="15">
      <c r="A114" s="599" t="s">
        <v>17</v>
      </c>
      <c r="B114" s="600"/>
      <c r="C114" s="600"/>
      <c r="D114" s="600"/>
      <c r="E114" s="183" t="s">
        <v>895</v>
      </c>
      <c r="F114" s="600"/>
      <c r="G114" s="600"/>
      <c r="H114" s="600"/>
      <c r="I114" s="600"/>
      <c r="J114" s="600"/>
      <c r="K114" s="600"/>
      <c r="L114" s="615"/>
    </row>
    <row r="115" spans="1:12" ht="15">
      <c r="A115" s="596" t="s">
        <v>147</v>
      </c>
      <c r="B115" s="588"/>
      <c r="C115" s="588"/>
      <c r="D115" s="588"/>
      <c r="E115" s="184" t="s">
        <v>896</v>
      </c>
      <c r="F115" s="588"/>
      <c r="G115" s="588"/>
      <c r="H115" s="588"/>
      <c r="I115" s="588"/>
      <c r="J115" s="588"/>
      <c r="K115" s="588"/>
      <c r="L115" s="589"/>
    </row>
    <row r="116" spans="1:12" ht="15">
      <c r="A116" s="596" t="s">
        <v>148</v>
      </c>
      <c r="B116" s="588"/>
      <c r="C116" s="588"/>
      <c r="D116" s="588"/>
      <c r="E116" s="184" t="s">
        <v>897</v>
      </c>
      <c r="F116" s="588"/>
      <c r="G116" s="588"/>
      <c r="H116" s="588"/>
      <c r="I116" s="588"/>
      <c r="J116" s="588"/>
      <c r="K116" s="588"/>
      <c r="L116" s="589"/>
    </row>
    <row r="117" spans="1:12" ht="15.75" thickBot="1">
      <c r="A117" s="601" t="s">
        <v>149</v>
      </c>
      <c r="B117" s="602"/>
      <c r="C117" s="602"/>
      <c r="D117" s="602"/>
      <c r="E117" s="185" t="s">
        <v>898</v>
      </c>
      <c r="F117" s="602"/>
      <c r="G117" s="602"/>
      <c r="H117" s="602"/>
      <c r="I117" s="602"/>
      <c r="J117" s="602"/>
      <c r="K117" s="602"/>
      <c r="L117" s="603"/>
    </row>
    <row r="118" spans="1:12" ht="13.5" thickBot="1">
      <c r="A118" s="173"/>
      <c r="B118" s="173"/>
      <c r="C118" s="173"/>
      <c r="D118" s="173"/>
      <c r="E118" s="174"/>
      <c r="F118" s="173"/>
      <c r="G118" s="173"/>
      <c r="H118" s="173"/>
      <c r="I118" s="173"/>
      <c r="J118" s="173"/>
      <c r="K118" s="173"/>
      <c r="L118" s="173"/>
    </row>
    <row r="119" spans="1:12" ht="15">
      <c r="A119" s="599" t="s">
        <v>17</v>
      </c>
      <c r="B119" s="600"/>
      <c r="C119" s="600"/>
      <c r="D119" s="600"/>
      <c r="E119" s="183" t="s">
        <v>899</v>
      </c>
      <c r="F119" s="600"/>
      <c r="G119" s="600"/>
      <c r="H119" s="600"/>
      <c r="I119" s="600"/>
      <c r="J119" s="600"/>
      <c r="K119" s="600"/>
      <c r="L119" s="615"/>
    </row>
    <row r="120" spans="1:12" ht="15">
      <c r="A120" s="596" t="s">
        <v>147</v>
      </c>
      <c r="B120" s="588"/>
      <c r="C120" s="588"/>
      <c r="D120" s="588"/>
      <c r="E120" s="184" t="s">
        <v>900</v>
      </c>
      <c r="F120" s="588"/>
      <c r="G120" s="588"/>
      <c r="H120" s="588"/>
      <c r="I120" s="588"/>
      <c r="J120" s="588"/>
      <c r="K120" s="588"/>
      <c r="L120" s="589"/>
    </row>
    <row r="121" spans="1:12" ht="15">
      <c r="A121" s="596" t="s">
        <v>148</v>
      </c>
      <c r="B121" s="588"/>
      <c r="C121" s="588"/>
      <c r="D121" s="588"/>
      <c r="E121" s="184" t="s">
        <v>829</v>
      </c>
      <c r="F121" s="588"/>
      <c r="G121" s="588"/>
      <c r="H121" s="588"/>
      <c r="I121" s="588"/>
      <c r="J121" s="588"/>
      <c r="K121" s="588"/>
      <c r="L121" s="589"/>
    </row>
    <row r="122" spans="1:12" ht="15.75" thickBot="1">
      <c r="A122" s="601" t="s">
        <v>149</v>
      </c>
      <c r="B122" s="602"/>
      <c r="C122" s="602"/>
      <c r="D122" s="602"/>
      <c r="E122" s="185" t="s">
        <v>901</v>
      </c>
      <c r="F122" s="602"/>
      <c r="G122" s="602"/>
      <c r="H122" s="602"/>
      <c r="I122" s="602"/>
      <c r="J122" s="602"/>
      <c r="K122" s="602"/>
      <c r="L122" s="603"/>
    </row>
    <row r="123" spans="1:12" ht="15.75" thickBot="1">
      <c r="A123" s="597"/>
      <c r="B123" s="598"/>
      <c r="C123" s="598"/>
      <c r="D123" s="598"/>
      <c r="E123" s="598"/>
      <c r="F123" s="598"/>
      <c r="G123" s="598"/>
      <c r="H123" s="598"/>
      <c r="I123" s="598"/>
      <c r="J123" s="598"/>
      <c r="K123" s="598"/>
      <c r="L123" s="598"/>
    </row>
    <row r="124" spans="1:12" ht="15">
      <c r="A124" s="599" t="s">
        <v>17</v>
      </c>
      <c r="B124" s="600"/>
      <c r="C124" s="600"/>
      <c r="D124" s="600"/>
      <c r="E124" s="183" t="s">
        <v>902</v>
      </c>
      <c r="F124" s="600"/>
      <c r="G124" s="600"/>
      <c r="H124" s="600"/>
      <c r="I124" s="600"/>
      <c r="J124" s="600"/>
      <c r="K124" s="600"/>
      <c r="L124" s="615"/>
    </row>
    <row r="125" spans="1:12" ht="15">
      <c r="A125" s="596" t="s">
        <v>147</v>
      </c>
      <c r="B125" s="588"/>
      <c r="C125" s="588"/>
      <c r="D125" s="588"/>
      <c r="E125" s="184" t="s">
        <v>903</v>
      </c>
      <c r="F125" s="588"/>
      <c r="G125" s="588"/>
      <c r="H125" s="588"/>
      <c r="I125" s="588"/>
      <c r="J125" s="588"/>
      <c r="K125" s="588"/>
      <c r="L125" s="589"/>
    </row>
    <row r="126" spans="1:12" ht="15">
      <c r="A126" s="596" t="s">
        <v>148</v>
      </c>
      <c r="B126" s="588"/>
      <c r="C126" s="588"/>
      <c r="D126" s="588"/>
      <c r="E126" s="184" t="s">
        <v>904</v>
      </c>
      <c r="F126" s="590"/>
      <c r="G126" s="591"/>
      <c r="H126" s="591"/>
      <c r="I126" s="591"/>
      <c r="J126" s="591"/>
      <c r="K126" s="591"/>
      <c r="L126" s="592"/>
    </row>
    <row r="127" spans="1:12" ht="15.75" thickBot="1">
      <c r="A127" s="601" t="s">
        <v>149</v>
      </c>
      <c r="B127" s="602"/>
      <c r="C127" s="602"/>
      <c r="D127" s="602"/>
      <c r="E127" s="185" t="s">
        <v>905</v>
      </c>
      <c r="F127" s="593"/>
      <c r="G127" s="594"/>
      <c r="H127" s="594"/>
      <c r="I127" s="594"/>
      <c r="J127" s="594"/>
      <c r="K127" s="594"/>
      <c r="L127" s="595"/>
    </row>
    <row r="128" spans="1:12" ht="13.5" thickBot="1">
      <c r="A128" s="175"/>
      <c r="B128" s="175"/>
      <c r="C128" s="175"/>
      <c r="D128" s="175"/>
      <c r="E128" s="176"/>
      <c r="F128" s="175"/>
      <c r="G128" s="175"/>
      <c r="H128" s="175"/>
      <c r="I128" s="175"/>
      <c r="J128" s="175"/>
      <c r="K128" s="175"/>
      <c r="L128" s="175"/>
    </row>
    <row r="129" spans="1:12" ht="15">
      <c r="A129" s="599" t="s">
        <v>17</v>
      </c>
      <c r="B129" s="600"/>
      <c r="C129" s="600"/>
      <c r="D129" s="600"/>
      <c r="E129" s="183" t="s">
        <v>906</v>
      </c>
      <c r="F129" s="600"/>
      <c r="G129" s="600"/>
      <c r="H129" s="600"/>
      <c r="I129" s="600"/>
      <c r="J129" s="600"/>
      <c r="K129" s="600"/>
      <c r="L129" s="615"/>
    </row>
    <row r="130" spans="1:12" ht="15">
      <c r="A130" s="596" t="s">
        <v>147</v>
      </c>
      <c r="B130" s="588"/>
      <c r="C130" s="588"/>
      <c r="D130" s="588"/>
      <c r="E130" s="184" t="s">
        <v>907</v>
      </c>
      <c r="F130" s="588"/>
      <c r="G130" s="588"/>
      <c r="H130" s="588"/>
      <c r="I130" s="588"/>
      <c r="J130" s="588"/>
      <c r="K130" s="588"/>
      <c r="L130" s="589"/>
    </row>
    <row r="131" spans="1:12" ht="15">
      <c r="A131" s="596" t="s">
        <v>148</v>
      </c>
      <c r="B131" s="588"/>
      <c r="C131" s="588"/>
      <c r="D131" s="588"/>
      <c r="E131" s="184" t="s">
        <v>908</v>
      </c>
      <c r="F131" s="588"/>
      <c r="G131" s="588"/>
      <c r="H131" s="588"/>
      <c r="I131" s="588"/>
      <c r="J131" s="588"/>
      <c r="K131" s="588"/>
      <c r="L131" s="589"/>
    </row>
    <row r="132" spans="1:12" ht="15.75" thickBot="1">
      <c r="A132" s="601" t="s">
        <v>149</v>
      </c>
      <c r="B132" s="602"/>
      <c r="C132" s="602"/>
      <c r="D132" s="602"/>
      <c r="E132" s="185" t="s">
        <v>909</v>
      </c>
      <c r="F132" s="602"/>
      <c r="G132" s="602"/>
      <c r="H132" s="602"/>
      <c r="I132" s="602"/>
      <c r="J132" s="602"/>
      <c r="K132" s="602"/>
      <c r="L132" s="603"/>
    </row>
    <row r="133" spans="1:12" ht="13.5" thickBot="1">
      <c r="A133" s="175"/>
      <c r="B133" s="175"/>
      <c r="C133" s="175"/>
      <c r="D133" s="175"/>
      <c r="E133" s="176"/>
      <c r="F133" s="175"/>
      <c r="G133" s="175"/>
      <c r="H133" s="175"/>
      <c r="I133" s="175"/>
      <c r="J133" s="175"/>
      <c r="K133" s="175"/>
      <c r="L133" s="175"/>
    </row>
    <row r="134" spans="1:12" ht="15">
      <c r="A134" s="599" t="s">
        <v>17</v>
      </c>
      <c r="B134" s="600"/>
      <c r="C134" s="600"/>
      <c r="D134" s="600"/>
      <c r="E134" s="183" t="s">
        <v>910</v>
      </c>
      <c r="F134" s="600"/>
      <c r="G134" s="600"/>
      <c r="H134" s="600"/>
      <c r="I134" s="600"/>
      <c r="J134" s="600"/>
      <c r="K134" s="600"/>
      <c r="L134" s="615"/>
    </row>
    <row r="135" spans="1:12" ht="15">
      <c r="A135" s="596" t="s">
        <v>147</v>
      </c>
      <c r="B135" s="588"/>
      <c r="C135" s="588"/>
      <c r="D135" s="588"/>
      <c r="E135" s="184" t="s">
        <v>911</v>
      </c>
      <c r="F135" s="588"/>
      <c r="G135" s="588"/>
      <c r="H135" s="588"/>
      <c r="I135" s="588"/>
      <c r="J135" s="588"/>
      <c r="K135" s="588"/>
      <c r="L135" s="589"/>
    </row>
    <row r="136" spans="1:12" ht="15">
      <c r="A136" s="596" t="s">
        <v>148</v>
      </c>
      <c r="B136" s="588"/>
      <c r="C136" s="588"/>
      <c r="D136" s="588"/>
      <c r="E136" s="184" t="s">
        <v>912</v>
      </c>
      <c r="F136" s="588"/>
      <c r="G136" s="588"/>
      <c r="H136" s="588"/>
      <c r="I136" s="588"/>
      <c r="J136" s="588"/>
      <c r="K136" s="588"/>
      <c r="L136" s="589"/>
    </row>
    <row r="137" spans="1:12" ht="15.75" thickBot="1">
      <c r="A137" s="601" t="s">
        <v>149</v>
      </c>
      <c r="B137" s="602"/>
      <c r="C137" s="602"/>
      <c r="D137" s="602"/>
      <c r="E137" s="185" t="s">
        <v>913</v>
      </c>
      <c r="F137" s="602"/>
      <c r="G137" s="602"/>
      <c r="H137" s="602"/>
      <c r="I137" s="602"/>
      <c r="J137" s="602"/>
      <c r="K137" s="602"/>
      <c r="L137" s="603"/>
    </row>
    <row r="138" spans="1:12" ht="13.5" thickBot="1">
      <c r="A138" s="175"/>
      <c r="B138" s="175"/>
      <c r="C138" s="175"/>
      <c r="D138" s="175"/>
      <c r="E138" s="176"/>
      <c r="F138" s="175"/>
      <c r="G138" s="175"/>
      <c r="H138" s="175"/>
      <c r="I138" s="175"/>
      <c r="J138" s="175"/>
      <c r="K138" s="175"/>
      <c r="L138" s="175"/>
    </row>
    <row r="139" spans="1:12" ht="15">
      <c r="A139" s="599" t="s">
        <v>17</v>
      </c>
      <c r="B139" s="600"/>
      <c r="C139" s="600"/>
      <c r="D139" s="600"/>
      <c r="E139" s="183" t="s">
        <v>914</v>
      </c>
      <c r="F139" s="600"/>
      <c r="G139" s="600"/>
      <c r="H139" s="600"/>
      <c r="I139" s="600"/>
      <c r="J139" s="600"/>
      <c r="K139" s="600"/>
      <c r="L139" s="615"/>
    </row>
    <row r="140" spans="1:12" ht="15">
      <c r="A140" s="596" t="s">
        <v>147</v>
      </c>
      <c r="B140" s="588"/>
      <c r="C140" s="588"/>
      <c r="D140" s="588"/>
      <c r="E140" s="184" t="s">
        <v>915</v>
      </c>
      <c r="F140" s="588"/>
      <c r="G140" s="588"/>
      <c r="H140" s="588"/>
      <c r="I140" s="588"/>
      <c r="J140" s="588"/>
      <c r="K140" s="588"/>
      <c r="L140" s="589"/>
    </row>
    <row r="141" spans="1:12" ht="15">
      <c r="A141" s="596" t="s">
        <v>148</v>
      </c>
      <c r="B141" s="588"/>
      <c r="C141" s="588"/>
      <c r="D141" s="588"/>
      <c r="E141" s="184" t="s">
        <v>916</v>
      </c>
      <c r="F141" s="588"/>
      <c r="G141" s="588"/>
      <c r="H141" s="588"/>
      <c r="I141" s="588"/>
      <c r="J141" s="588"/>
      <c r="K141" s="588"/>
      <c r="L141" s="589"/>
    </row>
    <row r="142" spans="1:12" ht="15.75" thickBot="1">
      <c r="A142" s="601" t="s">
        <v>149</v>
      </c>
      <c r="B142" s="602"/>
      <c r="C142" s="602"/>
      <c r="D142" s="602"/>
      <c r="E142" s="185" t="s">
        <v>917</v>
      </c>
      <c r="F142" s="602"/>
      <c r="G142" s="602"/>
      <c r="H142" s="602"/>
      <c r="I142" s="602"/>
      <c r="J142" s="602"/>
      <c r="K142" s="602"/>
      <c r="L142" s="603"/>
    </row>
    <row r="143" spans="1:12" ht="13.5" thickBot="1">
      <c r="A143" s="173"/>
      <c r="B143" s="173"/>
      <c r="C143" s="173"/>
      <c r="D143" s="173"/>
      <c r="E143" s="174"/>
      <c r="F143" s="173"/>
      <c r="G143" s="173"/>
      <c r="H143" s="173"/>
      <c r="I143" s="173"/>
      <c r="J143" s="173"/>
      <c r="K143" s="173"/>
      <c r="L143" s="173"/>
    </row>
    <row r="144" spans="1:12" ht="15">
      <c r="A144" s="599" t="s">
        <v>17</v>
      </c>
      <c r="B144" s="600"/>
      <c r="C144" s="600"/>
      <c r="D144" s="600"/>
      <c r="E144" s="183" t="s">
        <v>918</v>
      </c>
      <c r="F144" s="600"/>
      <c r="G144" s="600"/>
      <c r="H144" s="600"/>
      <c r="I144" s="600"/>
      <c r="J144" s="600"/>
      <c r="K144" s="600"/>
      <c r="L144" s="615"/>
    </row>
    <row r="145" spans="1:12" ht="15">
      <c r="A145" s="596" t="s">
        <v>147</v>
      </c>
      <c r="B145" s="588"/>
      <c r="C145" s="588"/>
      <c r="D145" s="588"/>
      <c r="E145" s="184" t="s">
        <v>919</v>
      </c>
      <c r="F145" s="588"/>
      <c r="G145" s="588"/>
      <c r="H145" s="588"/>
      <c r="I145" s="588"/>
      <c r="J145" s="588"/>
      <c r="K145" s="588"/>
      <c r="L145" s="589"/>
    </row>
    <row r="146" spans="1:12" ht="15">
      <c r="A146" s="596" t="s">
        <v>148</v>
      </c>
      <c r="B146" s="588"/>
      <c r="C146" s="588"/>
      <c r="D146" s="588"/>
      <c r="E146" s="184" t="s">
        <v>920</v>
      </c>
      <c r="F146" s="588"/>
      <c r="G146" s="588"/>
      <c r="H146" s="588"/>
      <c r="I146" s="588"/>
      <c r="J146" s="588"/>
      <c r="K146" s="588"/>
      <c r="L146" s="589"/>
    </row>
    <row r="147" spans="1:12" ht="15.75" thickBot="1">
      <c r="A147" s="601" t="s">
        <v>149</v>
      </c>
      <c r="B147" s="602"/>
      <c r="C147" s="602"/>
      <c r="D147" s="602"/>
      <c r="E147" s="185" t="s">
        <v>921</v>
      </c>
      <c r="F147" s="602"/>
      <c r="G147" s="602"/>
      <c r="H147" s="602"/>
      <c r="I147" s="602"/>
      <c r="J147" s="602"/>
      <c r="K147" s="602"/>
      <c r="L147" s="603"/>
    </row>
    <row r="148" spans="1:12" ht="13.5" thickBot="1">
      <c r="A148" s="173"/>
      <c r="B148" s="173"/>
      <c r="C148" s="173"/>
      <c r="D148" s="173"/>
      <c r="E148" s="174"/>
      <c r="F148" s="173"/>
      <c r="G148" s="173"/>
      <c r="H148" s="173"/>
      <c r="I148" s="173"/>
      <c r="J148" s="173"/>
      <c r="K148" s="173"/>
      <c r="L148" s="173"/>
    </row>
    <row r="149" spans="1:12" ht="15">
      <c r="A149" s="599" t="s">
        <v>17</v>
      </c>
      <c r="B149" s="600"/>
      <c r="C149" s="600"/>
      <c r="D149" s="600"/>
      <c r="E149" s="183" t="s">
        <v>922</v>
      </c>
      <c r="F149" s="600"/>
      <c r="G149" s="600"/>
      <c r="H149" s="600"/>
      <c r="I149" s="600"/>
      <c r="J149" s="600"/>
      <c r="K149" s="600"/>
      <c r="L149" s="615"/>
    </row>
    <row r="150" spans="1:12" ht="15">
      <c r="A150" s="596" t="s">
        <v>147</v>
      </c>
      <c r="B150" s="588"/>
      <c r="C150" s="588"/>
      <c r="D150" s="588"/>
      <c r="E150" s="184" t="s">
        <v>923</v>
      </c>
      <c r="F150" s="588"/>
      <c r="G150" s="588"/>
      <c r="H150" s="588"/>
      <c r="I150" s="588"/>
      <c r="J150" s="588"/>
      <c r="K150" s="588"/>
      <c r="L150" s="589"/>
    </row>
    <row r="151" spans="1:12" ht="15">
      <c r="A151" s="596" t="s">
        <v>148</v>
      </c>
      <c r="B151" s="588"/>
      <c r="C151" s="588"/>
      <c r="D151" s="588"/>
      <c r="E151" s="184" t="s">
        <v>924</v>
      </c>
      <c r="F151" s="588"/>
      <c r="G151" s="588"/>
      <c r="H151" s="588"/>
      <c r="I151" s="588"/>
      <c r="J151" s="588"/>
      <c r="K151" s="588"/>
      <c r="L151" s="589"/>
    </row>
    <row r="152" spans="1:12" ht="15.75" thickBot="1">
      <c r="A152" s="601" t="s">
        <v>149</v>
      </c>
      <c r="B152" s="602"/>
      <c r="C152" s="602"/>
      <c r="D152" s="602"/>
      <c r="E152" s="185" t="s">
        <v>925</v>
      </c>
      <c r="F152" s="602"/>
      <c r="G152" s="602"/>
      <c r="H152" s="602"/>
      <c r="I152" s="602"/>
      <c r="J152" s="602"/>
      <c r="K152" s="602"/>
      <c r="L152" s="603"/>
    </row>
    <row r="153" spans="1:12" ht="13.5" thickBot="1">
      <c r="A153" s="173"/>
      <c r="B153" s="173"/>
      <c r="C153" s="173"/>
      <c r="D153" s="173"/>
      <c r="E153" s="174"/>
      <c r="F153" s="173"/>
      <c r="G153" s="173"/>
      <c r="H153" s="173"/>
      <c r="I153" s="173"/>
      <c r="J153" s="173"/>
      <c r="K153" s="173"/>
      <c r="L153" s="173"/>
    </row>
    <row r="154" spans="1:12" ht="15">
      <c r="A154" s="599" t="s">
        <v>17</v>
      </c>
      <c r="B154" s="600"/>
      <c r="C154" s="600"/>
      <c r="D154" s="600"/>
      <c r="E154" s="183" t="s">
        <v>926</v>
      </c>
      <c r="F154" s="600"/>
      <c r="G154" s="600"/>
      <c r="H154" s="600"/>
      <c r="I154" s="600"/>
      <c r="J154" s="600"/>
      <c r="K154" s="600"/>
      <c r="L154" s="615"/>
    </row>
    <row r="155" spans="1:12" ht="15">
      <c r="A155" s="596" t="s">
        <v>147</v>
      </c>
      <c r="B155" s="588"/>
      <c r="C155" s="588"/>
      <c r="D155" s="588"/>
      <c r="E155" s="184" t="s">
        <v>927</v>
      </c>
      <c r="F155" s="588"/>
      <c r="G155" s="588"/>
      <c r="H155" s="588"/>
      <c r="I155" s="588"/>
      <c r="J155" s="588"/>
      <c r="K155" s="588"/>
      <c r="L155" s="589"/>
    </row>
    <row r="156" spans="1:12" ht="15">
      <c r="A156" s="596" t="s">
        <v>148</v>
      </c>
      <c r="B156" s="588"/>
      <c r="C156" s="588"/>
      <c r="D156" s="588"/>
      <c r="E156" s="184" t="s">
        <v>928</v>
      </c>
      <c r="F156" s="588"/>
      <c r="G156" s="588"/>
      <c r="H156" s="588"/>
      <c r="I156" s="588"/>
      <c r="J156" s="588"/>
      <c r="K156" s="588"/>
      <c r="L156" s="589"/>
    </row>
    <row r="157" spans="1:12" ht="15.75" thickBot="1">
      <c r="A157" s="601" t="s">
        <v>149</v>
      </c>
      <c r="B157" s="602"/>
      <c r="C157" s="602"/>
      <c r="D157" s="602"/>
      <c r="E157" s="185" t="s">
        <v>929</v>
      </c>
      <c r="F157" s="602"/>
      <c r="G157" s="602"/>
      <c r="H157" s="602"/>
      <c r="I157" s="602"/>
      <c r="J157" s="602"/>
      <c r="K157" s="602"/>
      <c r="L157" s="603"/>
    </row>
    <row r="158" spans="1:12" ht="12.75">
      <c r="A158" s="173"/>
      <c r="B158" s="173"/>
      <c r="C158" s="173"/>
      <c r="D158" s="173"/>
      <c r="E158" s="174"/>
      <c r="F158" s="173"/>
      <c r="G158" s="173"/>
      <c r="H158" s="173"/>
      <c r="I158" s="173"/>
      <c r="J158" s="173"/>
      <c r="K158" s="173"/>
      <c r="L158" s="173"/>
    </row>
    <row r="159" spans="1:12" ht="12.75">
      <c r="A159" s="173"/>
      <c r="B159" s="173"/>
      <c r="C159" s="173"/>
      <c r="D159" s="173"/>
      <c r="E159" s="174"/>
      <c r="F159" s="173"/>
      <c r="G159" s="173"/>
      <c r="H159" s="173"/>
      <c r="I159" s="173"/>
      <c r="J159" s="173"/>
      <c r="K159" s="173"/>
      <c r="L159" s="173"/>
    </row>
    <row r="160" spans="1:12" ht="12.75">
      <c r="A160" s="173"/>
      <c r="B160" s="173"/>
      <c r="C160" s="173"/>
      <c r="D160" s="173"/>
      <c r="E160" s="174"/>
      <c r="F160" s="173"/>
      <c r="G160" s="173"/>
      <c r="H160" s="173"/>
      <c r="I160" s="173"/>
      <c r="J160" s="173"/>
      <c r="K160" s="173"/>
      <c r="L160" s="173"/>
    </row>
    <row r="161" spans="1:12" ht="12.75">
      <c r="A161" s="173"/>
      <c r="B161" s="173"/>
      <c r="C161" s="173"/>
      <c r="D161" s="173"/>
      <c r="E161" s="174"/>
      <c r="F161" s="173"/>
      <c r="G161" s="173"/>
      <c r="H161" s="173"/>
      <c r="I161" s="173"/>
      <c r="J161" s="173"/>
      <c r="K161" s="173"/>
      <c r="L161" s="173"/>
    </row>
    <row r="162" spans="1:12" ht="12.75">
      <c r="A162" s="173"/>
      <c r="B162" s="173"/>
      <c r="C162" s="173"/>
      <c r="D162" s="173"/>
      <c r="E162" s="174"/>
      <c r="F162" s="173"/>
      <c r="G162" s="173"/>
      <c r="H162" s="173"/>
      <c r="I162" s="173"/>
      <c r="J162" s="173"/>
      <c r="K162" s="173"/>
      <c r="L162" s="173"/>
    </row>
    <row r="163" spans="1:12" ht="12.75">
      <c r="A163" s="173"/>
      <c r="B163" s="173"/>
      <c r="C163" s="173"/>
      <c r="D163" s="173"/>
      <c r="E163" s="174"/>
      <c r="F163" s="173"/>
      <c r="G163" s="173"/>
      <c r="H163" s="173"/>
      <c r="I163" s="173"/>
      <c r="J163" s="173"/>
      <c r="K163" s="173"/>
      <c r="L163" s="173"/>
    </row>
    <row r="164" spans="1:12" ht="12.75">
      <c r="A164" s="173"/>
      <c r="B164" s="173"/>
      <c r="C164" s="173"/>
      <c r="D164" s="173"/>
      <c r="E164" s="174"/>
      <c r="F164" s="173"/>
      <c r="G164" s="173"/>
      <c r="H164" s="173"/>
      <c r="I164" s="173"/>
      <c r="J164" s="173"/>
      <c r="K164" s="173"/>
      <c r="L164" s="173"/>
    </row>
    <row r="165" spans="1:12" ht="12.75">
      <c r="A165" s="173"/>
      <c r="B165" s="173"/>
      <c r="C165" s="173"/>
      <c r="D165" s="173"/>
      <c r="E165" s="174"/>
      <c r="F165" s="173"/>
      <c r="G165" s="173"/>
      <c r="H165" s="173"/>
      <c r="I165" s="173"/>
      <c r="J165" s="173"/>
      <c r="K165" s="173"/>
      <c r="L165" s="173"/>
    </row>
    <row r="166" spans="1:12" ht="12.75">
      <c r="A166" s="173"/>
      <c r="B166" s="173"/>
      <c r="C166" s="173"/>
      <c r="D166" s="173"/>
      <c r="E166" s="174"/>
      <c r="F166" s="173"/>
      <c r="G166" s="173"/>
      <c r="H166" s="173"/>
      <c r="I166" s="173"/>
      <c r="J166" s="173"/>
      <c r="K166" s="173"/>
      <c r="L166" s="173"/>
    </row>
    <row r="167" spans="1:12" ht="12.75">
      <c r="A167" s="173"/>
      <c r="B167" s="173"/>
      <c r="C167" s="173"/>
      <c r="D167" s="173"/>
      <c r="E167" s="174"/>
      <c r="F167" s="173"/>
      <c r="G167" s="173"/>
      <c r="H167" s="173"/>
      <c r="I167" s="173"/>
      <c r="J167" s="173"/>
      <c r="K167" s="173"/>
      <c r="L167" s="173"/>
    </row>
    <row r="168" spans="1:12" ht="12.75">
      <c r="A168" s="173"/>
      <c r="B168" s="173"/>
      <c r="C168" s="173"/>
      <c r="D168" s="173"/>
      <c r="E168" s="174"/>
      <c r="F168" s="173"/>
      <c r="G168" s="173"/>
      <c r="H168" s="173"/>
      <c r="I168" s="173"/>
      <c r="J168" s="173"/>
      <c r="K168" s="173"/>
      <c r="L168" s="173"/>
    </row>
    <row r="169" spans="1:12" ht="12.75">
      <c r="A169" s="173"/>
      <c r="B169" s="173"/>
      <c r="C169" s="173"/>
      <c r="D169" s="173"/>
      <c r="E169" s="174"/>
      <c r="F169" s="173"/>
      <c r="G169" s="173"/>
      <c r="H169" s="173"/>
      <c r="I169" s="173"/>
      <c r="J169" s="173"/>
      <c r="K169" s="173"/>
      <c r="L169" s="173"/>
    </row>
    <row r="170" spans="1:12" ht="12.75">
      <c r="A170" s="173"/>
      <c r="B170" s="173"/>
      <c r="C170" s="173"/>
      <c r="D170" s="173"/>
      <c r="E170" s="174"/>
      <c r="F170" s="173"/>
      <c r="G170" s="173"/>
      <c r="H170" s="173"/>
      <c r="I170" s="173"/>
      <c r="J170" s="173"/>
      <c r="K170" s="173"/>
      <c r="L170" s="173"/>
    </row>
    <row r="171" spans="1:12" ht="12.75">
      <c r="A171" s="173"/>
      <c r="B171" s="173"/>
      <c r="C171" s="173"/>
      <c r="D171" s="173"/>
      <c r="E171" s="174"/>
      <c r="F171" s="173"/>
      <c r="G171" s="173"/>
      <c r="H171" s="173"/>
      <c r="I171" s="173"/>
      <c r="J171" s="173"/>
      <c r="K171" s="173"/>
      <c r="L171" s="173"/>
    </row>
    <row r="172" spans="1:12" ht="12.75">
      <c r="A172" s="173"/>
      <c r="B172" s="173"/>
      <c r="C172" s="173"/>
      <c r="D172" s="173"/>
      <c r="E172" s="174"/>
      <c r="F172" s="173"/>
      <c r="G172" s="173"/>
      <c r="H172" s="173"/>
      <c r="I172" s="173"/>
      <c r="J172" s="173"/>
      <c r="K172" s="173"/>
      <c r="L172" s="173"/>
    </row>
    <row r="173" spans="1:12" ht="12.75">
      <c r="A173" s="173"/>
      <c r="B173" s="173"/>
      <c r="C173" s="173"/>
      <c r="D173" s="173"/>
      <c r="E173" s="174"/>
      <c r="F173" s="173"/>
      <c r="G173" s="173"/>
      <c r="H173" s="173"/>
      <c r="I173" s="173"/>
      <c r="J173" s="173"/>
      <c r="K173" s="173"/>
      <c r="L173" s="173"/>
    </row>
    <row r="174" spans="1:12" ht="12.75">
      <c r="A174" s="173"/>
      <c r="B174" s="173"/>
      <c r="C174" s="173"/>
      <c r="D174" s="173"/>
      <c r="E174" s="174"/>
      <c r="F174" s="173"/>
      <c r="G174" s="173"/>
      <c r="H174" s="173"/>
      <c r="I174" s="173"/>
      <c r="J174" s="173"/>
      <c r="K174" s="173"/>
      <c r="L174" s="173"/>
    </row>
    <row r="175" spans="1:12" ht="12.75">
      <c r="A175" s="173"/>
      <c r="B175" s="173"/>
      <c r="C175" s="173"/>
      <c r="D175" s="173"/>
      <c r="E175" s="174"/>
      <c r="F175" s="173"/>
      <c r="G175" s="173"/>
      <c r="H175" s="173"/>
      <c r="I175" s="173"/>
      <c r="J175" s="173"/>
      <c r="K175" s="173"/>
      <c r="L175" s="173"/>
    </row>
    <row r="176" spans="1:12" ht="12.75">
      <c r="A176" s="173"/>
      <c r="B176" s="173"/>
      <c r="C176" s="173"/>
      <c r="D176" s="173"/>
      <c r="E176" s="174"/>
      <c r="F176" s="173"/>
      <c r="G176" s="173"/>
      <c r="H176" s="173"/>
      <c r="I176" s="173"/>
      <c r="J176" s="173"/>
      <c r="K176" s="173"/>
      <c r="L176" s="173"/>
    </row>
    <row r="177" spans="1:12" ht="12.75">
      <c r="A177" s="173"/>
      <c r="B177" s="173"/>
      <c r="C177" s="173"/>
      <c r="D177" s="173"/>
      <c r="E177" s="174"/>
      <c r="F177" s="173"/>
      <c r="G177" s="173"/>
      <c r="H177" s="173"/>
      <c r="I177" s="173"/>
      <c r="J177" s="173"/>
      <c r="K177" s="173"/>
      <c r="L177" s="173"/>
    </row>
    <row r="178" spans="1:12" ht="12.75">
      <c r="A178" s="173"/>
      <c r="B178" s="173"/>
      <c r="C178" s="173"/>
      <c r="D178" s="173"/>
      <c r="E178" s="174"/>
      <c r="F178" s="173"/>
      <c r="G178" s="173"/>
      <c r="H178" s="173"/>
      <c r="I178" s="173"/>
      <c r="J178" s="173"/>
      <c r="K178" s="173"/>
      <c r="L178" s="173"/>
    </row>
    <row r="179" spans="1:12" ht="12.75">
      <c r="A179" s="173"/>
      <c r="B179" s="173"/>
      <c r="C179" s="173"/>
      <c r="D179" s="173"/>
      <c r="E179" s="174"/>
      <c r="F179" s="173"/>
      <c r="G179" s="173"/>
      <c r="H179" s="173"/>
      <c r="I179" s="173"/>
      <c r="J179" s="173"/>
      <c r="K179" s="173"/>
      <c r="L179" s="173"/>
    </row>
    <row r="180" spans="1:12" ht="12.75">
      <c r="A180" s="173"/>
      <c r="B180" s="173"/>
      <c r="C180" s="173"/>
      <c r="D180" s="173"/>
      <c r="E180" s="174"/>
      <c r="F180" s="173"/>
      <c r="G180" s="173"/>
      <c r="H180" s="173"/>
      <c r="I180" s="173"/>
      <c r="J180" s="173"/>
      <c r="K180" s="173"/>
      <c r="L180" s="173"/>
    </row>
    <row r="181" spans="1:12" ht="12.75">
      <c r="A181" s="173"/>
      <c r="B181" s="173"/>
      <c r="C181" s="173"/>
      <c r="D181" s="173"/>
      <c r="E181" s="174"/>
      <c r="F181" s="173"/>
      <c r="G181" s="173"/>
      <c r="H181" s="173"/>
      <c r="I181" s="173"/>
      <c r="J181" s="173"/>
      <c r="K181" s="173"/>
      <c r="L181" s="173"/>
    </row>
    <row r="182" spans="1:12" ht="12.75">
      <c r="A182" s="173"/>
      <c r="B182" s="173"/>
      <c r="C182" s="173"/>
      <c r="D182" s="173"/>
      <c r="E182" s="174"/>
      <c r="F182" s="173"/>
      <c r="G182" s="173"/>
      <c r="H182" s="173"/>
      <c r="I182" s="173"/>
      <c r="J182" s="173"/>
      <c r="K182" s="173"/>
      <c r="L182" s="173"/>
    </row>
    <row r="183" spans="1:12" ht="12.75">
      <c r="A183" s="173"/>
      <c r="B183" s="173"/>
      <c r="C183" s="173"/>
      <c r="D183" s="173"/>
      <c r="E183" s="174"/>
      <c r="F183" s="173"/>
      <c r="G183" s="173"/>
      <c r="H183" s="173"/>
      <c r="I183" s="173"/>
      <c r="J183" s="173"/>
      <c r="K183" s="173"/>
      <c r="L183" s="173"/>
    </row>
    <row r="184" spans="1:12" ht="12.75">
      <c r="A184" s="173"/>
      <c r="B184" s="173"/>
      <c r="C184" s="173"/>
      <c r="D184" s="173"/>
      <c r="E184" s="174"/>
      <c r="F184" s="173"/>
      <c r="G184" s="173"/>
      <c r="H184" s="173"/>
      <c r="I184" s="173"/>
      <c r="J184" s="173"/>
      <c r="K184" s="173"/>
      <c r="L184" s="173"/>
    </row>
    <row r="185" spans="1:12" ht="12.75">
      <c r="A185" s="173"/>
      <c r="B185" s="173"/>
      <c r="C185" s="173"/>
      <c r="D185" s="173"/>
      <c r="E185" s="174"/>
      <c r="F185" s="173"/>
      <c r="G185" s="173"/>
      <c r="H185" s="173"/>
      <c r="I185" s="173"/>
      <c r="J185" s="173"/>
      <c r="K185" s="173"/>
      <c r="L185" s="173"/>
    </row>
    <row r="186" spans="1:12" ht="12.75">
      <c r="A186" s="173"/>
      <c r="B186" s="173"/>
      <c r="C186" s="173"/>
      <c r="D186" s="173"/>
      <c r="E186" s="174"/>
      <c r="F186" s="173"/>
      <c r="G186" s="173"/>
      <c r="H186" s="173"/>
      <c r="I186" s="173"/>
      <c r="J186" s="173"/>
      <c r="K186" s="173"/>
      <c r="L186" s="173"/>
    </row>
    <row r="187" spans="1:12" ht="12.75">
      <c r="A187" s="173"/>
      <c r="B187" s="173"/>
      <c r="C187" s="173"/>
      <c r="D187" s="173"/>
      <c r="E187" s="174"/>
      <c r="F187" s="173"/>
      <c r="G187" s="173"/>
      <c r="H187" s="173"/>
      <c r="I187" s="173"/>
      <c r="J187" s="173"/>
      <c r="K187" s="173"/>
      <c r="L187" s="173"/>
    </row>
    <row r="188" spans="1:12" ht="12.75">
      <c r="A188" s="173"/>
      <c r="B188" s="173"/>
      <c r="C188" s="173"/>
      <c r="D188" s="173"/>
      <c r="E188" s="174"/>
      <c r="F188" s="173"/>
      <c r="G188" s="173"/>
      <c r="H188" s="173"/>
      <c r="I188" s="173"/>
      <c r="J188" s="173"/>
      <c r="K188" s="173"/>
      <c r="L188" s="173"/>
    </row>
    <row r="189" spans="1:12" ht="12.75">
      <c r="A189" s="173"/>
      <c r="B189" s="173"/>
      <c r="C189" s="173"/>
      <c r="D189" s="173"/>
      <c r="E189" s="174"/>
      <c r="F189" s="173"/>
      <c r="G189" s="173"/>
      <c r="H189" s="173"/>
      <c r="I189" s="173"/>
      <c r="J189" s="173"/>
      <c r="K189" s="173"/>
      <c r="L189" s="173"/>
    </row>
    <row r="190" spans="1:12" ht="12.75">
      <c r="A190" s="173"/>
      <c r="B190" s="173"/>
      <c r="C190" s="173"/>
      <c r="D190" s="173"/>
      <c r="E190" s="174"/>
      <c r="F190" s="173"/>
      <c r="G190" s="173"/>
      <c r="H190" s="173"/>
      <c r="I190" s="173"/>
      <c r="J190" s="173"/>
      <c r="K190" s="173"/>
      <c r="L190" s="173"/>
    </row>
    <row r="191" spans="1:12" ht="12.75">
      <c r="A191" s="173"/>
      <c r="B191" s="173"/>
      <c r="C191" s="173"/>
      <c r="D191" s="173"/>
      <c r="E191" s="174"/>
      <c r="F191" s="173"/>
      <c r="G191" s="173"/>
      <c r="H191" s="173"/>
      <c r="I191" s="173"/>
      <c r="J191" s="173"/>
      <c r="K191" s="173"/>
      <c r="L191" s="173"/>
    </row>
    <row r="192" spans="1:12" ht="12.75">
      <c r="A192" s="173"/>
      <c r="B192" s="173"/>
      <c r="C192" s="173"/>
      <c r="D192" s="173"/>
      <c r="E192" s="174"/>
      <c r="F192" s="173"/>
      <c r="G192" s="173"/>
      <c r="H192" s="173"/>
      <c r="I192" s="173"/>
      <c r="J192" s="173"/>
      <c r="K192" s="173"/>
      <c r="L192" s="173"/>
    </row>
    <row r="193" spans="1:12" ht="12.75">
      <c r="A193" s="173"/>
      <c r="B193" s="173"/>
      <c r="C193" s="173"/>
      <c r="D193" s="173"/>
      <c r="E193" s="174"/>
      <c r="F193" s="173"/>
      <c r="G193" s="173"/>
      <c r="H193" s="173"/>
      <c r="I193" s="173"/>
      <c r="J193" s="173"/>
      <c r="K193" s="173"/>
      <c r="L193" s="173"/>
    </row>
    <row r="194" spans="1:12" ht="12.75">
      <c r="A194" s="173"/>
      <c r="B194" s="173"/>
      <c r="C194" s="173"/>
      <c r="D194" s="173"/>
      <c r="E194" s="174"/>
      <c r="F194" s="173"/>
      <c r="G194" s="173"/>
      <c r="H194" s="173"/>
      <c r="I194" s="173"/>
      <c r="J194" s="173"/>
      <c r="K194" s="173"/>
      <c r="L194" s="173"/>
    </row>
    <row r="195" spans="1:12" ht="12.75">
      <c r="A195" s="173"/>
      <c r="B195" s="173"/>
      <c r="C195" s="173"/>
      <c r="D195" s="173"/>
      <c r="E195" s="174"/>
      <c r="F195" s="173"/>
      <c r="G195" s="173"/>
      <c r="H195" s="173"/>
      <c r="I195" s="173"/>
      <c r="J195" s="173"/>
      <c r="K195" s="173"/>
      <c r="L195" s="173"/>
    </row>
    <row r="196" spans="1:12" ht="12.75">
      <c r="A196" s="173"/>
      <c r="B196" s="173"/>
      <c r="C196" s="173"/>
      <c r="D196" s="173"/>
      <c r="E196" s="174"/>
      <c r="F196" s="173"/>
      <c r="G196" s="173"/>
      <c r="H196" s="173"/>
      <c r="I196" s="173"/>
      <c r="J196" s="173"/>
      <c r="K196" s="173"/>
      <c r="L196" s="173"/>
    </row>
    <row r="197" spans="1:12" ht="12.75">
      <c r="A197" s="173"/>
      <c r="B197" s="173"/>
      <c r="C197" s="173"/>
      <c r="D197" s="173"/>
      <c r="E197" s="174"/>
      <c r="F197" s="173"/>
      <c r="G197" s="173"/>
      <c r="H197" s="173"/>
      <c r="I197" s="173"/>
      <c r="J197" s="173"/>
      <c r="K197" s="173"/>
      <c r="L197" s="173"/>
    </row>
    <row r="198" spans="1:12" ht="12.75">
      <c r="A198" s="173"/>
      <c r="B198" s="173"/>
      <c r="C198" s="173"/>
      <c r="D198" s="173"/>
      <c r="E198" s="174"/>
      <c r="F198" s="173"/>
      <c r="G198" s="173"/>
      <c r="H198" s="173"/>
      <c r="I198" s="173"/>
      <c r="J198" s="173"/>
      <c r="K198" s="173"/>
      <c r="L198" s="173"/>
    </row>
    <row r="199" spans="1:12" ht="12.75">
      <c r="A199" s="173"/>
      <c r="B199" s="173"/>
      <c r="C199" s="173"/>
      <c r="D199" s="173"/>
      <c r="E199" s="174"/>
      <c r="F199" s="173"/>
      <c r="G199" s="173"/>
      <c r="H199" s="173"/>
      <c r="I199" s="173"/>
      <c r="J199" s="173"/>
      <c r="K199" s="173"/>
      <c r="L199" s="173"/>
    </row>
    <row r="200" spans="1:12" ht="12.75">
      <c r="A200" s="173"/>
      <c r="B200" s="173"/>
      <c r="C200" s="173"/>
      <c r="D200" s="173"/>
      <c r="E200" s="174"/>
      <c r="F200" s="173"/>
      <c r="G200" s="173"/>
      <c r="H200" s="173"/>
      <c r="I200" s="173"/>
      <c r="J200" s="173"/>
      <c r="K200" s="173"/>
      <c r="L200" s="173"/>
    </row>
    <row r="201" spans="1:12" ht="12.75">
      <c r="A201" s="173"/>
      <c r="B201" s="173"/>
      <c r="C201" s="173"/>
      <c r="D201" s="173"/>
      <c r="E201" s="174"/>
      <c r="F201" s="173"/>
      <c r="G201" s="173"/>
      <c r="H201" s="173"/>
      <c r="I201" s="173"/>
      <c r="J201" s="173"/>
      <c r="K201" s="173"/>
      <c r="L201" s="173"/>
    </row>
    <row r="202" spans="1:12" ht="12.75">
      <c r="A202" s="173"/>
      <c r="B202" s="173"/>
      <c r="C202" s="173"/>
      <c r="D202" s="173"/>
      <c r="E202" s="174"/>
      <c r="F202" s="173"/>
      <c r="G202" s="173"/>
      <c r="H202" s="173"/>
      <c r="I202" s="173"/>
      <c r="J202" s="173"/>
      <c r="K202" s="173"/>
      <c r="L202" s="173"/>
    </row>
    <row r="203" spans="1:12" ht="12.75">
      <c r="A203" s="173"/>
      <c r="B203" s="173"/>
      <c r="C203" s="173"/>
      <c r="D203" s="173"/>
      <c r="E203" s="174"/>
      <c r="F203" s="173"/>
      <c r="G203" s="173"/>
      <c r="H203" s="173"/>
      <c r="I203" s="173"/>
      <c r="J203" s="173"/>
      <c r="K203" s="173"/>
      <c r="L203" s="173"/>
    </row>
  </sheetData>
  <sheetProtection password="CE88" sheet="1" objects="1" scenarios="1"/>
  <mergeCells count="248">
    <mergeCell ref="A154:D154"/>
    <mergeCell ref="F154:L154"/>
    <mergeCell ref="A157:D157"/>
    <mergeCell ref="F157:L157"/>
    <mergeCell ref="A155:D155"/>
    <mergeCell ref="F155:L155"/>
    <mergeCell ref="A156:D156"/>
    <mergeCell ref="F156:L156"/>
    <mergeCell ref="A151:D151"/>
    <mergeCell ref="F151:L151"/>
    <mergeCell ref="A152:D152"/>
    <mergeCell ref="F152:L152"/>
    <mergeCell ref="A149:D149"/>
    <mergeCell ref="F149:L149"/>
    <mergeCell ref="A150:D150"/>
    <mergeCell ref="F150:L150"/>
    <mergeCell ref="A146:D146"/>
    <mergeCell ref="F146:L146"/>
    <mergeCell ref="A147:D147"/>
    <mergeCell ref="F147:L147"/>
    <mergeCell ref="A144:D144"/>
    <mergeCell ref="F144:L144"/>
    <mergeCell ref="A145:D145"/>
    <mergeCell ref="F145:L145"/>
    <mergeCell ref="A141:D141"/>
    <mergeCell ref="F141:L141"/>
    <mergeCell ref="A142:D142"/>
    <mergeCell ref="F142:L142"/>
    <mergeCell ref="A139:D139"/>
    <mergeCell ref="F139:L139"/>
    <mergeCell ref="A140:D140"/>
    <mergeCell ref="F140:L140"/>
    <mergeCell ref="A136:D136"/>
    <mergeCell ref="F136:L136"/>
    <mergeCell ref="A137:D137"/>
    <mergeCell ref="F137:L137"/>
    <mergeCell ref="A134:D134"/>
    <mergeCell ref="F134:L134"/>
    <mergeCell ref="A135:D135"/>
    <mergeCell ref="F135:L135"/>
    <mergeCell ref="A131:D131"/>
    <mergeCell ref="F131:L131"/>
    <mergeCell ref="A132:D132"/>
    <mergeCell ref="F132:L132"/>
    <mergeCell ref="A129:D129"/>
    <mergeCell ref="F129:L129"/>
    <mergeCell ref="A130:D130"/>
    <mergeCell ref="F130:L130"/>
    <mergeCell ref="A126:D126"/>
    <mergeCell ref="F126:L126"/>
    <mergeCell ref="A127:D127"/>
    <mergeCell ref="F127:L127"/>
    <mergeCell ref="A123:L123"/>
    <mergeCell ref="A124:D124"/>
    <mergeCell ref="F124:L124"/>
    <mergeCell ref="A125:D125"/>
    <mergeCell ref="F125:L125"/>
    <mergeCell ref="A121:D121"/>
    <mergeCell ref="F121:L121"/>
    <mergeCell ref="A122:D122"/>
    <mergeCell ref="F122:L122"/>
    <mergeCell ref="A119:D119"/>
    <mergeCell ref="F119:L119"/>
    <mergeCell ref="A120:D120"/>
    <mergeCell ref="F120:L120"/>
    <mergeCell ref="A116:D116"/>
    <mergeCell ref="F116:L116"/>
    <mergeCell ref="A117:D117"/>
    <mergeCell ref="F117:L117"/>
    <mergeCell ref="A114:D114"/>
    <mergeCell ref="F114:L114"/>
    <mergeCell ref="A115:D115"/>
    <mergeCell ref="F115:L115"/>
    <mergeCell ref="A111:D111"/>
    <mergeCell ref="F111:L111"/>
    <mergeCell ref="A112:D112"/>
    <mergeCell ref="F112:L112"/>
    <mergeCell ref="A109:D109"/>
    <mergeCell ref="F109:L109"/>
    <mergeCell ref="A110:D110"/>
    <mergeCell ref="F110:L110"/>
    <mergeCell ref="A106:D106"/>
    <mergeCell ref="F106:L106"/>
    <mergeCell ref="A107:D107"/>
    <mergeCell ref="F107:L107"/>
    <mergeCell ref="A104:D104"/>
    <mergeCell ref="F104:L104"/>
    <mergeCell ref="A105:D105"/>
    <mergeCell ref="F105:L105"/>
    <mergeCell ref="A101:D101"/>
    <mergeCell ref="F101:L101"/>
    <mergeCell ref="A102:D102"/>
    <mergeCell ref="F102:L102"/>
    <mergeCell ref="A99:D99"/>
    <mergeCell ref="F99:L99"/>
    <mergeCell ref="A100:D100"/>
    <mergeCell ref="F100:L100"/>
    <mergeCell ref="A96:D96"/>
    <mergeCell ref="F96:L96"/>
    <mergeCell ref="A97:D97"/>
    <mergeCell ref="F97:L97"/>
    <mergeCell ref="A94:D94"/>
    <mergeCell ref="F94:L94"/>
    <mergeCell ref="A95:D95"/>
    <mergeCell ref="F95:L95"/>
    <mergeCell ref="A91:D91"/>
    <mergeCell ref="F91:L91"/>
    <mergeCell ref="A92:D92"/>
    <mergeCell ref="F92:L92"/>
    <mergeCell ref="A88:L88"/>
    <mergeCell ref="A89:D89"/>
    <mergeCell ref="F89:L89"/>
    <mergeCell ref="A90:D90"/>
    <mergeCell ref="F90:L90"/>
    <mergeCell ref="A87:D87"/>
    <mergeCell ref="F87:L87"/>
    <mergeCell ref="A82:D82"/>
    <mergeCell ref="F82:L82"/>
    <mergeCell ref="A86:D86"/>
    <mergeCell ref="F86:L86"/>
    <mergeCell ref="A53:L53"/>
    <mergeCell ref="A57:D57"/>
    <mergeCell ref="F57:L57"/>
    <mergeCell ref="A62:D62"/>
    <mergeCell ref="F62:L62"/>
    <mergeCell ref="A61:D61"/>
    <mergeCell ref="F61:L61"/>
    <mergeCell ref="A59:D59"/>
    <mergeCell ref="F59:L59"/>
    <mergeCell ref="A60:D60"/>
    <mergeCell ref="A72:D72"/>
    <mergeCell ref="A54:D54"/>
    <mergeCell ref="F54:L54"/>
    <mergeCell ref="A71:D71"/>
    <mergeCell ref="F71:L71"/>
    <mergeCell ref="A69:D69"/>
    <mergeCell ref="F69:L69"/>
    <mergeCell ref="A70:D70"/>
    <mergeCell ref="F72:L72"/>
    <mergeCell ref="F70:L70"/>
    <mergeCell ref="A79:D79"/>
    <mergeCell ref="A84:D84"/>
    <mergeCell ref="F84:L84"/>
    <mergeCell ref="A85:D85"/>
    <mergeCell ref="F85:L85"/>
    <mergeCell ref="F79:L79"/>
    <mergeCell ref="A80:D80"/>
    <mergeCell ref="A81:D81"/>
    <mergeCell ref="F81:L81"/>
    <mergeCell ref="F65:L65"/>
    <mergeCell ref="F80:L80"/>
    <mergeCell ref="A76:D76"/>
    <mergeCell ref="F76:L76"/>
    <mergeCell ref="A74:D74"/>
    <mergeCell ref="F74:L74"/>
    <mergeCell ref="A75:D75"/>
    <mergeCell ref="F75:L75"/>
    <mergeCell ref="A77:D77"/>
    <mergeCell ref="F77:L77"/>
    <mergeCell ref="A67:D67"/>
    <mergeCell ref="F67:L67"/>
    <mergeCell ref="F60:L60"/>
    <mergeCell ref="A56:D56"/>
    <mergeCell ref="F56:L56"/>
    <mergeCell ref="A66:D66"/>
    <mergeCell ref="F66:L66"/>
    <mergeCell ref="A64:D64"/>
    <mergeCell ref="F64:L64"/>
    <mergeCell ref="A65:D65"/>
    <mergeCell ref="A55:D55"/>
    <mergeCell ref="F55:L55"/>
    <mergeCell ref="A49:D49"/>
    <mergeCell ref="F49:L49"/>
    <mergeCell ref="A50:D50"/>
    <mergeCell ref="F50:L50"/>
    <mergeCell ref="A51:D51"/>
    <mergeCell ref="F51:L51"/>
    <mergeCell ref="A52:D52"/>
    <mergeCell ref="F52:L52"/>
    <mergeCell ref="A44:D44"/>
    <mergeCell ref="F44:L44"/>
    <mergeCell ref="A45:D45"/>
    <mergeCell ref="F45:L45"/>
    <mergeCell ref="A46:D46"/>
    <mergeCell ref="F46:L46"/>
    <mergeCell ref="A47:D47"/>
    <mergeCell ref="F47:L47"/>
    <mergeCell ref="A39:D39"/>
    <mergeCell ref="F39:L39"/>
    <mergeCell ref="A40:D40"/>
    <mergeCell ref="F40:L40"/>
    <mergeCell ref="A41:D41"/>
    <mergeCell ref="F41:L41"/>
    <mergeCell ref="A42:D42"/>
    <mergeCell ref="F42:L42"/>
    <mergeCell ref="A34:D34"/>
    <mergeCell ref="F34:L34"/>
    <mergeCell ref="A35:D35"/>
    <mergeCell ref="F35:L35"/>
    <mergeCell ref="A36:D36"/>
    <mergeCell ref="F36:L36"/>
    <mergeCell ref="A37:D37"/>
    <mergeCell ref="F37:L37"/>
    <mergeCell ref="A29:D29"/>
    <mergeCell ref="F29:L29"/>
    <mergeCell ref="A30:D30"/>
    <mergeCell ref="F30:L30"/>
    <mergeCell ref="A31:D31"/>
    <mergeCell ref="F31:L31"/>
    <mergeCell ref="A32:D32"/>
    <mergeCell ref="F32:L32"/>
    <mergeCell ref="K4:L4"/>
    <mergeCell ref="A24:D24"/>
    <mergeCell ref="F24:L24"/>
    <mergeCell ref="A25:D25"/>
    <mergeCell ref="F25:L25"/>
    <mergeCell ref="A26:D26"/>
    <mergeCell ref="F26:L26"/>
    <mergeCell ref="F19:L19"/>
    <mergeCell ref="A3:D5"/>
    <mergeCell ref="A22:D22"/>
    <mergeCell ref="A27:D27"/>
    <mergeCell ref="F27:L27"/>
    <mergeCell ref="A1:L1"/>
    <mergeCell ref="E3:E5"/>
    <mergeCell ref="F3:F5"/>
    <mergeCell ref="G3:G5"/>
    <mergeCell ref="H3:L3"/>
    <mergeCell ref="H4:H5"/>
    <mergeCell ref="I4:J4"/>
    <mergeCell ref="B13:B16"/>
    <mergeCell ref="F20:L20"/>
    <mergeCell ref="F21:L21"/>
    <mergeCell ref="F22:L22"/>
    <mergeCell ref="A20:D20"/>
    <mergeCell ref="A21:D21"/>
    <mergeCell ref="A18:L18"/>
    <mergeCell ref="A19:D19"/>
    <mergeCell ref="B12:D12"/>
    <mergeCell ref="C13:C14"/>
    <mergeCell ref="C15:C16"/>
    <mergeCell ref="A6:A16"/>
    <mergeCell ref="B6:D6"/>
    <mergeCell ref="B7:D7"/>
    <mergeCell ref="B8:D8"/>
    <mergeCell ref="B9:D9"/>
    <mergeCell ref="B10:D10"/>
    <mergeCell ref="B11:D11"/>
  </mergeCells>
  <printOptions/>
  <pageMargins left="0.58" right="0.35" top="0.7" bottom="0.85" header="0.4" footer="0.5"/>
  <pageSetup horizontalDpi="1200" verticalDpi="1200" orientation="landscape" paperSize="9" scale="98" r:id="rId1"/>
  <headerFooter alignWithMargins="0">
    <oddFooter>&amp;R7</oddFooter>
  </headerFooter>
  <rowBreaks count="1" manualBreakCount="1">
    <brk id="23" max="11" man="1"/>
  </rowBreaks>
</worksheet>
</file>

<file path=xl/worksheets/sheet9.xml><?xml version="1.0" encoding="utf-8"?>
<worksheet xmlns="http://schemas.openxmlformats.org/spreadsheetml/2006/main" xmlns:r="http://schemas.openxmlformats.org/officeDocument/2006/relationships">
  <dimension ref="A1:T40"/>
  <sheetViews>
    <sheetView zoomScalePageLayoutView="0" workbookViewId="0" topLeftCell="A10">
      <selection activeCell="K28" sqref="K28"/>
    </sheetView>
  </sheetViews>
  <sheetFormatPr defaultColWidth="9.140625" defaultRowHeight="12.75"/>
  <cols>
    <col min="1" max="1" width="10.7109375" style="0" customWidth="1"/>
    <col min="2" max="2" width="6.57421875" style="0" customWidth="1"/>
    <col min="3" max="3" width="9.7109375" style="0" customWidth="1"/>
    <col min="4" max="4" width="15.8515625" style="0" customWidth="1"/>
    <col min="5" max="5" width="12.00390625" style="0" customWidth="1"/>
    <col min="6" max="6" width="9.7109375" style="99" customWidth="1"/>
    <col min="7" max="7" width="12.28125" style="60" customWidth="1"/>
    <col min="8" max="8" width="12.421875" style="0" customWidth="1"/>
    <col min="9" max="9" width="10.57421875" style="0" customWidth="1"/>
    <col min="10" max="10" width="10.140625" style="0" customWidth="1"/>
    <col min="11" max="11" width="10.28125" style="0" customWidth="1"/>
    <col min="12" max="12" width="9.57421875" style="0" customWidth="1"/>
    <col min="13" max="13" width="9.8515625" style="0" customWidth="1"/>
  </cols>
  <sheetData>
    <row r="1" ht="16.5" thickBot="1">
      <c r="A1" s="58" t="s">
        <v>150</v>
      </c>
    </row>
    <row r="2" spans="1:13" ht="12.75">
      <c r="A2" s="649" t="s">
        <v>124</v>
      </c>
      <c r="B2" s="641"/>
      <c r="C2" s="641"/>
      <c r="D2" s="650"/>
      <c r="E2" s="650"/>
      <c r="F2" s="646" t="s">
        <v>60</v>
      </c>
      <c r="G2" s="641" t="s">
        <v>61</v>
      </c>
      <c r="H2" s="641" t="s">
        <v>125</v>
      </c>
      <c r="I2" s="641" t="s">
        <v>126</v>
      </c>
      <c r="J2" s="641"/>
      <c r="K2" s="641"/>
      <c r="L2" s="641"/>
      <c r="M2" s="642"/>
    </row>
    <row r="3" spans="1:13" ht="26.25" customHeight="1">
      <c r="A3" s="651"/>
      <c r="B3" s="652"/>
      <c r="C3" s="652"/>
      <c r="D3" s="653"/>
      <c r="E3" s="653"/>
      <c r="F3" s="647"/>
      <c r="G3" s="643"/>
      <c r="H3" s="643"/>
      <c r="I3" s="643" t="s">
        <v>127</v>
      </c>
      <c r="J3" s="643" t="s">
        <v>128</v>
      </c>
      <c r="K3" s="643"/>
      <c r="L3" s="643" t="s">
        <v>129</v>
      </c>
      <c r="M3" s="645"/>
    </row>
    <row r="4" spans="1:13" ht="43.5" customHeight="1" thickBot="1">
      <c r="A4" s="654"/>
      <c r="B4" s="655"/>
      <c r="C4" s="655"/>
      <c r="D4" s="656"/>
      <c r="E4" s="656"/>
      <c r="F4" s="648"/>
      <c r="G4" s="644"/>
      <c r="H4" s="644"/>
      <c r="I4" s="644"/>
      <c r="J4" s="80" t="s">
        <v>130</v>
      </c>
      <c r="K4" s="80" t="s">
        <v>131</v>
      </c>
      <c r="L4" s="80" t="s">
        <v>130</v>
      </c>
      <c r="M4" s="81" t="s">
        <v>131</v>
      </c>
    </row>
    <row r="5" spans="1:13" s="1" customFormat="1" ht="25.5">
      <c r="A5" s="636" t="s">
        <v>151</v>
      </c>
      <c r="B5" s="639" t="s">
        <v>133</v>
      </c>
      <c r="C5" s="640"/>
      <c r="D5" s="640"/>
      <c r="E5" s="640"/>
      <c r="F5" s="109">
        <v>211</v>
      </c>
      <c r="G5" s="66" t="s">
        <v>144</v>
      </c>
      <c r="H5" s="120">
        <f>H15+'2.1_turp'!H5</f>
        <v>2</v>
      </c>
      <c r="I5" s="120">
        <f>I15+'2.1_turp'!I5</f>
        <v>0</v>
      </c>
      <c r="J5" s="120">
        <f>J15+'2.1_turp'!J5</f>
        <v>2</v>
      </c>
      <c r="K5" s="120">
        <f>K15+'2.1_turp'!K5</f>
        <v>1</v>
      </c>
      <c r="L5" s="120">
        <f>L15+'2.1_turp'!L5</f>
        <v>0</v>
      </c>
      <c r="M5" s="131">
        <f>M15+'2.1_turp'!M5</f>
        <v>0</v>
      </c>
    </row>
    <row r="6" spans="1:14" s="1" customFormat="1" ht="12.75">
      <c r="A6" s="637"/>
      <c r="B6" s="462" t="s">
        <v>136</v>
      </c>
      <c r="C6" s="468"/>
      <c r="D6" s="468"/>
      <c r="E6" s="468"/>
      <c r="F6" s="92">
        <v>212</v>
      </c>
      <c r="G6" s="63" t="s">
        <v>67</v>
      </c>
      <c r="H6" s="141">
        <v>6</v>
      </c>
      <c r="I6" s="62" t="s">
        <v>145</v>
      </c>
      <c r="J6" s="62" t="s">
        <v>145</v>
      </c>
      <c r="K6" s="62" t="s">
        <v>145</v>
      </c>
      <c r="L6" s="62" t="s">
        <v>145</v>
      </c>
      <c r="M6" s="67" t="s">
        <v>145</v>
      </c>
      <c r="N6" s="179" t="str">
        <f>IF(H6&gt;=H7,"OK","Sociālā darba speciālistu skaits ir lielāks kā kopējais darbinieku skaits pārskata gada beigās!")</f>
        <v>OK</v>
      </c>
    </row>
    <row r="7" spans="1:15" s="1" customFormat="1" ht="12.75">
      <c r="A7" s="637"/>
      <c r="B7" s="462" t="s">
        <v>137</v>
      </c>
      <c r="C7" s="468"/>
      <c r="D7" s="468"/>
      <c r="E7" s="468"/>
      <c r="F7" s="96">
        <v>2121</v>
      </c>
      <c r="G7" s="63" t="s">
        <v>67</v>
      </c>
      <c r="H7" s="141">
        <v>1</v>
      </c>
      <c r="I7" s="62" t="s">
        <v>145</v>
      </c>
      <c r="J7" s="62" t="s">
        <v>145</v>
      </c>
      <c r="K7" s="62" t="s">
        <v>145</v>
      </c>
      <c r="L7" s="62" t="s">
        <v>145</v>
      </c>
      <c r="M7" s="67" t="s">
        <v>145</v>
      </c>
      <c r="O7" t="str">
        <f>IF(AND(OR(SUM(H5:M5)&gt;0,AND(H15=0,H18=0)),OR(SUM(H17:M17)&gt;0,SUM(H18:M18)&gt;0,SUM(H19:M19)&gt;0,SUM(H20:M20)&gt;0),OR(H15&gt;0,IF(H6=0,IF(H7=0,IF(H15=0,IF(H18=0,TRUE,FALSE),FALSE),FALSE),FALSE))),"OK",IF(SUM(H5:M39)=0,"OK","Pārbaudi naudu, cilvēku vai institūciju skaitu"))</f>
        <v>OK</v>
      </c>
    </row>
    <row r="8" spans="1:15" s="1" customFormat="1" ht="12.75">
      <c r="A8" s="637"/>
      <c r="B8" s="462" t="s">
        <v>138</v>
      </c>
      <c r="C8" s="468"/>
      <c r="D8" s="468"/>
      <c r="E8" s="468"/>
      <c r="F8" s="92">
        <v>213</v>
      </c>
      <c r="G8" s="241" t="s">
        <v>931</v>
      </c>
      <c r="H8" s="119">
        <f>H17+'2.1_turp'!H6</f>
        <v>102038.57</v>
      </c>
      <c r="I8" s="119">
        <f>I17+'2.1_turp'!I6</f>
        <v>0</v>
      </c>
      <c r="J8" s="119">
        <f>J17+'2.1_turp'!J6</f>
        <v>149661.63</v>
      </c>
      <c r="K8" s="119">
        <f>K17+'2.1_turp'!K6</f>
        <v>79008</v>
      </c>
      <c r="L8" s="119">
        <f>L17+'2.1_turp'!L6</f>
        <v>0</v>
      </c>
      <c r="M8" s="125">
        <f>M17+'2.1_turp'!M6</f>
        <v>0</v>
      </c>
      <c r="O8" t="str">
        <f>IF(SUM(H5:M39)=0,"OK",IF(AND(OR(SUM(H5:M5)&gt;0,AND(H15=0,H18=0)),OR(SUM(H17:M17)&gt;0,SUM(H18:M18)&gt;0,SUM(H19:M19)&gt;0,SUM(H20:M20)&gt;0),OR(H15&gt;0,IF(H6=0,IF(H7=0,IF(H15=0,IF(H18=0,TRUE,FALSE),FALSE),FALSE),FALSE)),IF(CODE('2.1_turp'!O5)=79,TRUE,FALSE)),"OK","Pārbaudi naudu, cilvēku vai institūciju skaitu"))</f>
        <v>OK</v>
      </c>
    </row>
    <row r="9" spans="1:13" s="1" customFormat="1" ht="12.75">
      <c r="A9" s="637"/>
      <c r="B9" s="462" t="s">
        <v>139</v>
      </c>
      <c r="C9" s="468"/>
      <c r="D9" s="468"/>
      <c r="E9" s="468"/>
      <c r="F9" s="92">
        <v>214</v>
      </c>
      <c r="G9" s="63" t="s">
        <v>67</v>
      </c>
      <c r="H9" s="119">
        <f aca="true" t="shared" si="0" ref="H9:M9">H10+H11+H12+H13</f>
        <v>63</v>
      </c>
      <c r="I9" s="119">
        <f t="shared" si="0"/>
        <v>0</v>
      </c>
      <c r="J9" s="119">
        <f t="shared" si="0"/>
        <v>85</v>
      </c>
      <c r="K9" s="119">
        <f t="shared" si="0"/>
        <v>32</v>
      </c>
      <c r="L9" s="119">
        <f t="shared" si="0"/>
        <v>0</v>
      </c>
      <c r="M9" s="125">
        <f t="shared" si="0"/>
        <v>0</v>
      </c>
    </row>
    <row r="10" spans="1:13" s="1" customFormat="1" ht="12.75">
      <c r="A10" s="637"/>
      <c r="B10" s="475" t="s">
        <v>74</v>
      </c>
      <c r="C10" s="466" t="s">
        <v>140</v>
      </c>
      <c r="D10" s="462" t="s">
        <v>142</v>
      </c>
      <c r="E10" s="462"/>
      <c r="F10" s="95" t="s">
        <v>340</v>
      </c>
      <c r="G10" s="63" t="s">
        <v>67</v>
      </c>
      <c r="H10" s="141">
        <v>0</v>
      </c>
      <c r="I10" s="141">
        <v>0</v>
      </c>
      <c r="J10" s="141">
        <v>0</v>
      </c>
      <c r="K10" s="141">
        <v>0</v>
      </c>
      <c r="L10" s="141">
        <v>0</v>
      </c>
      <c r="M10" s="142">
        <v>0</v>
      </c>
    </row>
    <row r="11" spans="1:15" s="1" customFormat="1" ht="12.75">
      <c r="A11" s="637"/>
      <c r="B11" s="475"/>
      <c r="C11" s="466"/>
      <c r="D11" s="462" t="s">
        <v>143</v>
      </c>
      <c r="E11" s="462"/>
      <c r="F11" s="95" t="s">
        <v>341</v>
      </c>
      <c r="G11" s="63" t="s">
        <v>67</v>
      </c>
      <c r="H11" s="141">
        <v>0</v>
      </c>
      <c r="I11" s="141">
        <v>0</v>
      </c>
      <c r="J11" s="141">
        <v>0</v>
      </c>
      <c r="K11" s="141">
        <v>0</v>
      </c>
      <c r="L11" s="141">
        <v>0</v>
      </c>
      <c r="M11" s="142">
        <v>0</v>
      </c>
      <c r="O11" s="1" t="str">
        <f>IF(AND(SUM(H6:H7)=0,H15=0),IF(AND(H16&gt;0,H19&gt;0),IF(H20&gt;=0,"OK","Pārbaudi tabulu 2.1"),IF(H16+H19=0,"OK","Pārbaudi H16, H19")),IF(AND(H6&gt;0,H7&gt;=0,H18&gt;0),IF(AND(H16,H19&gt;0),IF(H20&gt;=0,"OK","Pārbaudi tabulu 2.1"),IF(H16+H19=0,"OK","Pārbadi H16, H19")),IF(H6+H7+H18+H15=0,IF(H16+H19=0,"OK",IF(AND(H16&gt;0,H19&gt;0),"OK","Pārbaudi H16, H19")),"Pārbaudi H6, H7, H15, H18")))</f>
        <v>OK</v>
      </c>
    </row>
    <row r="12" spans="1:14" s="1" customFormat="1" ht="12.75">
      <c r="A12" s="637"/>
      <c r="B12" s="475"/>
      <c r="C12" s="466" t="s">
        <v>141</v>
      </c>
      <c r="D12" s="462" t="s">
        <v>142</v>
      </c>
      <c r="E12" s="462"/>
      <c r="F12" s="95" t="s">
        <v>342</v>
      </c>
      <c r="G12" s="63" t="s">
        <v>67</v>
      </c>
      <c r="H12" s="141">
        <v>16</v>
      </c>
      <c r="I12" s="141">
        <v>0</v>
      </c>
      <c r="J12" s="141">
        <v>29</v>
      </c>
      <c r="K12" s="141">
        <v>4</v>
      </c>
      <c r="L12" s="141">
        <v>0</v>
      </c>
      <c r="M12" s="142">
        <v>0</v>
      </c>
      <c r="N12" s="179" t="str">
        <f>IF(AND(H12&gt;=H24,H12&gt;='2.1_turp'!H8,I12&gt;=I24,I12&gt;='2.1_turp'!I8,J12&gt;=J24,J12&gt;='2.1_turp'!J8,K12&gt;=K24,K12&gt;='2.1_turp'!K8,L12&gt;=L24,L12&gt;='2.1_turp'!L8,M12&gt;=M24,M12&gt;='2.1_turp'!M8),"OK","Pārbaudiet vīriešu sadalījumu pa aprūpes mājas pakalpojumu veidiem!")</f>
        <v>OK</v>
      </c>
    </row>
    <row r="13" spans="1:20" s="1" customFormat="1" ht="12.75">
      <c r="A13" s="637"/>
      <c r="B13" s="475"/>
      <c r="C13" s="466"/>
      <c r="D13" s="462" t="s">
        <v>143</v>
      </c>
      <c r="E13" s="462"/>
      <c r="F13" s="95" t="s">
        <v>343</v>
      </c>
      <c r="G13" s="63" t="s">
        <v>67</v>
      </c>
      <c r="H13" s="141">
        <v>47</v>
      </c>
      <c r="I13" s="141">
        <v>0</v>
      </c>
      <c r="J13" s="141">
        <v>56</v>
      </c>
      <c r="K13" s="141">
        <v>28</v>
      </c>
      <c r="L13" s="141">
        <v>0</v>
      </c>
      <c r="M13" s="142">
        <v>0</v>
      </c>
      <c r="N13" s="179" t="str">
        <f>IF(AND(H13&gt;=H25,H13&gt;='2.1_turp'!H9,I13&gt;=I25,I13&gt;='2.1_turp'!I9,J13&gt;=J25,J13&gt;='2.1_turp'!J9,K13&gt;=K25,K13&gt;='2.1_turp'!K9,L13&gt;=L25,L13&gt;='2.1_turp'!L9,M13&gt;=M25,M13&gt;='2.1_turp'!M9),"OK","Pārbaudiet vīriešu sadalījumu pa aprūpes mājas pakalpojumu veidiem!")</f>
        <v>OK</v>
      </c>
      <c r="P13" s="1" t="str">
        <f>IF(SUM(I5:I39)&gt;=0,IF(AND(I5&gt;0,I6&gt;0,I7&gt;0,I15&gt;0,I16&gt;0,I18&gt;0,I19&gt;0),"OK",IF(AND(I5&gt;=I15,I15&gt;=0,I18&gt;=0),IF(AND('2.1'!I9='2.1'!I10+'2.1'!I11+'2.1'!I12+'2.1'!I13,'2.1'!I9&gt;='2.1'!I14,MAX('2.1'!I21,'2.1_turp'!I7)&lt;='2.1'!I9,'2.1'!I9&lt;='2.1'!I21+'2.1_turp'!I7),IF(I8=I18+'2.1_turp'!I10+'2.1_turp'!I12+'2.1_turp'!I14+'2.1_turp'!I16+'2.1_turp'!I18,"OK","Pārbaudi vai naudas summa ir ievadīta pareizi"),"Pārbaudi vai personu skaits ir pareizs"),"Pārbaudi tabulā 2.1 I5, I15, I18")),"Pārbadi visu tabulu 2.1")</f>
        <v>OK</v>
      </c>
      <c r="Q13" s="1" t="str">
        <f>IF(SUM(J5:J39)&gt;=0,IF(AND(J5&gt;0,J6&gt;0,J7&gt;0,J15&gt;0,J16&gt;0,J18&gt;0,J19&gt;0),"OK",IF(AND(J5&gt;=J15,J15&gt;=0,J18&gt;=0),IF(AND('2.1'!J9='2.1'!J10+'2.1'!J11+'2.1'!J12+'2.1'!J13,'2.1'!J9&gt;='2.1'!J14,MAX('2.1'!J21,'2.1_turp'!J7)&lt;='2.1'!J9,'2.1'!J9&lt;='2.1'!J21+'2.1_turp'!J7),IF(J8=J18+'2.1_turp'!J10+'2.1_turp'!J12+'2.1_turp'!J14+'2.1_turp'!J16+'2.1_turp'!J18,"OK","Pārbaudi vai naudas summa ir ievadīta pareizi"),"Pārbaudi vai personu skaits ir pareizs"),"Pārbaudi tabulā 2.1 J5, J15, J18")),"Pārbadi visu tabulu 2.1")</f>
        <v>OK</v>
      </c>
      <c r="R13" s="1" t="str">
        <f>IF(SUM(K5:K39)&gt;=0,IF(AND(K5&gt;0,K6&gt;0,K7&gt;0,K15&gt;0,K16&gt;0,K18&gt;0,K19&gt;0),"OK",IF(AND(K5&gt;=K15,K15&gt;=0,K18&gt;=0),IF(AND('2.1'!K9='2.1'!K10+'2.1'!K11+'2.1'!K12+'2.1'!K13,'2.1'!K9&gt;='2.1'!K14,MAX('2.1'!K21,'2.1_turp'!K7)&lt;='2.1'!K9,'2.1'!K9&lt;='2.1'!K21+'2.1_turp'!K7),IF(K8=K18+'2.1_turp'!K10+'2.1_turp'!K12+'2.1_turp'!K14+'2.1_turp'!K16+'2.1_turp'!K18,"OK","Pārbaudi vai naudas summa ir ievadīta pareizi"),"Pārbaudi vai personu skaits ir pareizs"),"Pārbaudi tabulā 2.1 K5, K15, K18")),"Pārbadi visu tabulu 2.1")</f>
        <v>OK</v>
      </c>
      <c r="S13" s="1" t="str">
        <f>IF(SUM(L5:L39)&gt;=0,IF(AND(L5&gt;0,L6&gt;0,L7&gt;0,L15&gt;0,L16&gt;0,L18&gt;0,L19&gt;0),"OK",IF(AND(L5&gt;=L15,L15&gt;=0,L18&gt;=0),IF(AND('2.1'!L9='2.1'!L10+'2.1'!L11+'2.1'!L12+'2.1'!L13,'2.1'!L9&gt;='2.1'!L14,MAX('2.1'!L21,'2.1_turp'!L7)&lt;='2.1'!L9,'2.1'!L9&lt;='2.1'!L21+'2.1_turp'!L7),IF(L8=L18+'2.1_turp'!L10+'2.1_turp'!L12+'2.1_turp'!L14+'2.1_turp'!L16+'2.1_turp'!L18,"OK","Pārbaudi vai naudas summa ir ievadīta pareizi"),"Pārbaudi vai personu skaits ir pareizs"),"Pārbaudi tabulā 2.1 L5, L15, L18")),"Pārbadi visu tabulu 2.1")</f>
        <v>OK</v>
      </c>
      <c r="T13" s="1" t="str">
        <f>IF(SUM(M5:M39)&gt;=0,IF(AND(M5&gt;0,M6&gt;0,M7&gt;0,M15&gt;0,M16&gt;0,M18&gt;0,M19&gt;0),"OK",IF(AND(M5&gt;=M15,M15&gt;=0,M18&gt;=0),IF(AND('2.1'!M9='2.1'!M10+'2.1'!M11+'2.1'!M12+'2.1'!M13,'2.1'!M9&gt;='2.1'!M14,MAX('2.1'!M21,'2.1_turp'!M7)&lt;='2.1'!M9,'2.1'!M9&lt;='2.1'!M21+'2.1_turp'!M7),IF(M8=M18+'2.1_turp'!M10+'2.1_turp'!M12+'2.1_turp'!M14+'2.1_turp'!M16+'2.1_turp'!M18,"OK","Pārbaudi vai naudas summa ir ievadīta pareizi"),"Pārbaudi vai personu skaits ir pareizs"),"Pārbaudi tabulā 2.1 M5, M15, M18")),"Pārbadi visu tabulu 2.1")</f>
        <v>OK</v>
      </c>
    </row>
    <row r="14" spans="1:14" s="1" customFormat="1" ht="27.75" customHeight="1" thickBot="1">
      <c r="A14" s="638"/>
      <c r="B14" s="473" t="s">
        <v>152</v>
      </c>
      <c r="C14" s="657"/>
      <c r="D14" s="657"/>
      <c r="E14" s="657"/>
      <c r="F14" s="103" t="s">
        <v>344</v>
      </c>
      <c r="G14" s="69" t="s">
        <v>67</v>
      </c>
      <c r="H14" s="143">
        <v>52</v>
      </c>
      <c r="I14" s="143">
        <v>0</v>
      </c>
      <c r="J14" s="143">
        <v>85</v>
      </c>
      <c r="K14" s="143">
        <v>32</v>
      </c>
      <c r="L14" s="143">
        <v>0</v>
      </c>
      <c r="M14" s="144">
        <v>0</v>
      </c>
      <c r="N14" s="179" t="str">
        <f>IF(H14&lt;=H9,"OK","Klientu skaits, kuriem pakalpojumu pilnībā vai daļēji apmaksā pašvaldība, ir lielāks par kopējo pakalpojumu saņēmušo klientu skaitu!")</f>
        <v>OK</v>
      </c>
    </row>
    <row r="15" spans="1:15" s="1" customFormat="1" ht="24" customHeight="1">
      <c r="A15" s="626" t="s">
        <v>74</v>
      </c>
      <c r="B15" s="631" t="s">
        <v>153</v>
      </c>
      <c r="C15" s="460" t="s">
        <v>133</v>
      </c>
      <c r="D15" s="460"/>
      <c r="E15" s="460"/>
      <c r="F15" s="100" t="s">
        <v>345</v>
      </c>
      <c r="G15" s="71" t="s">
        <v>144</v>
      </c>
      <c r="H15" s="145">
        <v>2</v>
      </c>
      <c r="I15" s="145">
        <v>0</v>
      </c>
      <c r="J15" s="145">
        <v>2</v>
      </c>
      <c r="K15" s="145">
        <v>1</v>
      </c>
      <c r="L15" s="145">
        <v>0</v>
      </c>
      <c r="M15" s="146">
        <v>0</v>
      </c>
      <c r="O15" s="239"/>
    </row>
    <row r="16" spans="1:13" s="1" customFormat="1" ht="15.75" customHeight="1">
      <c r="A16" s="627"/>
      <c r="B16" s="632"/>
      <c r="C16" s="462" t="s">
        <v>154</v>
      </c>
      <c r="D16" s="462"/>
      <c r="E16" s="462"/>
      <c r="F16" s="111" t="s">
        <v>346</v>
      </c>
      <c r="G16" s="63" t="s">
        <v>67</v>
      </c>
      <c r="H16" s="141">
        <v>5</v>
      </c>
      <c r="I16" s="62" t="s">
        <v>145</v>
      </c>
      <c r="J16" s="62" t="s">
        <v>145</v>
      </c>
      <c r="K16" s="62" t="s">
        <v>145</v>
      </c>
      <c r="L16" s="62" t="s">
        <v>145</v>
      </c>
      <c r="M16" s="67" t="s">
        <v>145</v>
      </c>
    </row>
    <row r="17" spans="1:13" s="1" customFormat="1" ht="15.75" customHeight="1">
      <c r="A17" s="627"/>
      <c r="B17" s="632"/>
      <c r="C17" s="500" t="s">
        <v>740</v>
      </c>
      <c r="D17" s="506"/>
      <c r="E17" s="503"/>
      <c r="F17" s="111" t="s">
        <v>741</v>
      </c>
      <c r="G17" s="242" t="s">
        <v>931</v>
      </c>
      <c r="H17" s="119">
        <f>H18+H19+H20</f>
        <v>102038.57</v>
      </c>
      <c r="I17" s="124">
        <f>I18</f>
        <v>0</v>
      </c>
      <c r="J17" s="124">
        <f>J18</f>
        <v>149661.63</v>
      </c>
      <c r="K17" s="124">
        <f>K18</f>
        <v>79008</v>
      </c>
      <c r="L17" s="124">
        <f>L18</f>
        <v>0</v>
      </c>
      <c r="M17" s="132">
        <f>M18</f>
        <v>0</v>
      </c>
    </row>
    <row r="18" spans="1:13" s="1" customFormat="1" ht="13.5" customHeight="1">
      <c r="A18" s="627"/>
      <c r="B18" s="632"/>
      <c r="C18" s="466" t="s">
        <v>74</v>
      </c>
      <c r="D18" s="462" t="s">
        <v>155</v>
      </c>
      <c r="E18" s="468"/>
      <c r="F18" s="96" t="s">
        <v>347</v>
      </c>
      <c r="G18" s="241" t="s">
        <v>931</v>
      </c>
      <c r="H18" s="141">
        <v>37614.69</v>
      </c>
      <c r="I18" s="141">
        <v>0</v>
      </c>
      <c r="J18" s="141">
        <v>149661.63</v>
      </c>
      <c r="K18" s="141">
        <v>79008</v>
      </c>
      <c r="L18" s="141">
        <v>0</v>
      </c>
      <c r="M18" s="142">
        <v>0</v>
      </c>
    </row>
    <row r="19" spans="1:13" s="1" customFormat="1" ht="12.75">
      <c r="A19" s="627"/>
      <c r="B19" s="632"/>
      <c r="C19" s="466"/>
      <c r="D19" s="462" t="s">
        <v>156</v>
      </c>
      <c r="E19" s="468"/>
      <c r="F19" s="96" t="s">
        <v>348</v>
      </c>
      <c r="G19" s="241" t="s">
        <v>931</v>
      </c>
      <c r="H19" s="141">
        <v>64423.88</v>
      </c>
      <c r="I19" s="62" t="s">
        <v>145</v>
      </c>
      <c r="J19" s="62" t="s">
        <v>145</v>
      </c>
      <c r="K19" s="62" t="s">
        <v>145</v>
      </c>
      <c r="L19" s="62" t="s">
        <v>145</v>
      </c>
      <c r="M19" s="67" t="s">
        <v>145</v>
      </c>
    </row>
    <row r="20" spans="1:13" s="1" customFormat="1" ht="13.5" customHeight="1">
      <c r="A20" s="627"/>
      <c r="B20" s="632"/>
      <c r="C20" s="466"/>
      <c r="D20" s="462" t="s">
        <v>164</v>
      </c>
      <c r="E20" s="468"/>
      <c r="F20" s="96" t="s">
        <v>349</v>
      </c>
      <c r="G20" s="241" t="s">
        <v>931</v>
      </c>
      <c r="H20" s="141">
        <v>0</v>
      </c>
      <c r="I20" s="62" t="s">
        <v>145</v>
      </c>
      <c r="J20" s="62" t="s">
        <v>145</v>
      </c>
      <c r="K20" s="62" t="s">
        <v>145</v>
      </c>
      <c r="L20" s="62" t="s">
        <v>145</v>
      </c>
      <c r="M20" s="67" t="s">
        <v>145</v>
      </c>
    </row>
    <row r="21" spans="1:15" s="1" customFormat="1" ht="12.75">
      <c r="A21" s="627"/>
      <c r="B21" s="632"/>
      <c r="C21" s="462" t="s">
        <v>162</v>
      </c>
      <c r="D21" s="462"/>
      <c r="E21" s="462"/>
      <c r="F21" s="111" t="s">
        <v>350</v>
      </c>
      <c r="G21" s="63" t="s">
        <v>67</v>
      </c>
      <c r="H21" s="119">
        <f aca="true" t="shared" si="1" ref="H21:M21">H22+H23+H24+H25</f>
        <v>52</v>
      </c>
      <c r="I21" s="119">
        <f t="shared" si="1"/>
        <v>0</v>
      </c>
      <c r="J21" s="119">
        <f t="shared" si="1"/>
        <v>85</v>
      </c>
      <c r="K21" s="119">
        <f t="shared" si="1"/>
        <v>32</v>
      </c>
      <c r="L21" s="119">
        <f t="shared" si="1"/>
        <v>0</v>
      </c>
      <c r="M21" s="125">
        <f t="shared" si="1"/>
        <v>0</v>
      </c>
      <c r="N21" s="128" t="str">
        <f>IF(AND((H21=H26+H28+H30+H31),(I21=I26+I28+I30+I31),(J21=J26+J28+J30+J31),(K21=K26+K28+K30+K31),(L21=L26+L28+L30+L31),(M21=M26+M28+M30+M31)),"OK","PĀRBAUDIET APRŪPĒJAMO SADALĪJUMU PĒC VESELĪBAS STATUSA")</f>
        <v>OK</v>
      </c>
      <c r="O21" s="122"/>
    </row>
    <row r="22" spans="1:14" s="1" customFormat="1" ht="12.75">
      <c r="A22" s="627"/>
      <c r="B22" s="632"/>
      <c r="C22" s="658" t="s">
        <v>74</v>
      </c>
      <c r="D22" s="661" t="s">
        <v>140</v>
      </c>
      <c r="E22" s="54" t="s">
        <v>142</v>
      </c>
      <c r="F22" s="96" t="s">
        <v>351</v>
      </c>
      <c r="G22" s="63" t="s">
        <v>67</v>
      </c>
      <c r="H22" s="141">
        <v>0</v>
      </c>
      <c r="I22" s="141">
        <v>0</v>
      </c>
      <c r="J22" s="141">
        <v>0</v>
      </c>
      <c r="K22" s="141">
        <v>0</v>
      </c>
      <c r="L22" s="141">
        <v>0</v>
      </c>
      <c r="M22" s="142">
        <v>0</v>
      </c>
      <c r="N22" s="128" t="str">
        <f>IF(AND(H22&lt;=H10,I22&lt;=I10,J22&lt;=J10,K22&lt;=K10,L22&lt;=L10,M22&lt;=M10),"OK","Pārbaudiet bērnu (vīriešu) sadalījumu pa aprūpes mājas pakalpojumu veidiem!")</f>
        <v>OK</v>
      </c>
    </row>
    <row r="23" spans="1:14" s="1" customFormat="1" ht="12.75">
      <c r="A23" s="627"/>
      <c r="B23" s="632"/>
      <c r="C23" s="659"/>
      <c r="D23" s="662"/>
      <c r="E23" s="61" t="s">
        <v>143</v>
      </c>
      <c r="F23" s="96" t="s">
        <v>352</v>
      </c>
      <c r="G23" s="63" t="s">
        <v>67</v>
      </c>
      <c r="H23" s="141">
        <v>0</v>
      </c>
      <c r="I23" s="141">
        <v>0</v>
      </c>
      <c r="J23" s="141">
        <v>0</v>
      </c>
      <c r="K23" s="141">
        <v>0</v>
      </c>
      <c r="L23" s="141">
        <v>0</v>
      </c>
      <c r="M23" s="142">
        <v>0</v>
      </c>
      <c r="N23" s="128" t="str">
        <f>IF(AND(H23&lt;=H11,I23&lt;=I11,J23&lt;=J11,K23&lt;=K11,L23&lt;=L11,M23&lt;=M11),"OK","Pārbaudiet bērnu (sieviešu) sadalījumu pa aprūpes mājas pakalpojumu veidiem!")</f>
        <v>OK</v>
      </c>
    </row>
    <row r="24" spans="1:16" s="1" customFormat="1" ht="12.75">
      <c r="A24" s="627"/>
      <c r="B24" s="632"/>
      <c r="C24" s="659"/>
      <c r="D24" s="466" t="s">
        <v>141</v>
      </c>
      <c r="E24" s="54" t="s">
        <v>142</v>
      </c>
      <c r="F24" s="96" t="s">
        <v>353</v>
      </c>
      <c r="G24" s="63" t="s">
        <v>67</v>
      </c>
      <c r="H24" s="141">
        <v>12</v>
      </c>
      <c r="I24" s="141">
        <v>0</v>
      </c>
      <c r="J24" s="141">
        <v>29</v>
      </c>
      <c r="K24" s="141">
        <v>4</v>
      </c>
      <c r="L24" s="141">
        <v>0</v>
      </c>
      <c r="M24" s="142">
        <v>0</v>
      </c>
      <c r="P24" s="1" t="str">
        <f>IF(H22+H23+H24+H25=H26+'2.1'!H28+'2.1'!H30+'2.1'!H31,"OK","Pārbaudi personas "&amp;$H$2&amp;" H24, H25, H28, H30, H31")</f>
        <v>OK</v>
      </c>
    </row>
    <row r="25" spans="1:16" s="1" customFormat="1" ht="12.75">
      <c r="A25" s="627"/>
      <c r="B25" s="632"/>
      <c r="C25" s="660"/>
      <c r="D25" s="466"/>
      <c r="E25" s="61" t="s">
        <v>143</v>
      </c>
      <c r="F25" s="96" t="s">
        <v>354</v>
      </c>
      <c r="G25" s="63" t="s">
        <v>67</v>
      </c>
      <c r="H25" s="141">
        <v>40</v>
      </c>
      <c r="I25" s="141">
        <v>0</v>
      </c>
      <c r="J25" s="141">
        <v>56</v>
      </c>
      <c r="K25" s="141">
        <v>28</v>
      </c>
      <c r="L25" s="141">
        <v>0</v>
      </c>
      <c r="M25" s="142">
        <v>0</v>
      </c>
      <c r="P25" s="1" t="str">
        <f>IF(I22+I23+I24+I25=I26+'2.1'!I28+'2.1'!I30+'2.1'!I31,"OK","Pārbaudi personas "&amp;I3&amp;" I24, I25, I28, I30, I31")</f>
        <v>OK</v>
      </c>
    </row>
    <row r="26" spans="1:16" s="1" customFormat="1" ht="12.75">
      <c r="A26" s="627"/>
      <c r="B26" s="632"/>
      <c r="C26" s="658" t="s">
        <v>105</v>
      </c>
      <c r="D26" s="462" t="s">
        <v>157</v>
      </c>
      <c r="E26" s="468"/>
      <c r="F26" s="96" t="s">
        <v>355</v>
      </c>
      <c r="G26" s="63" t="s">
        <v>67</v>
      </c>
      <c r="H26" s="141">
        <v>0</v>
      </c>
      <c r="I26" s="141">
        <v>0</v>
      </c>
      <c r="J26" s="141">
        <v>0</v>
      </c>
      <c r="K26" s="141">
        <v>0</v>
      </c>
      <c r="L26" s="141">
        <v>0</v>
      </c>
      <c r="M26" s="142">
        <v>0</v>
      </c>
      <c r="N26" s="128" t="str">
        <f>IF(AND(H26&lt;=SUM(H22,H23),I26&lt;=SUM(I22,I23),J26&lt;=SUM(J22,J23),K26&lt;=SUM(K22,K23),L26&lt;=SUM(L22,L23),M26&lt;=SUM(M22,M23)),"OK","Bērnu ar invaliditāti skaits, kas saņēma klienta aprūpes pakalpojumu, pārsniedz kopējo  pakalpojumu saņēmušo bērnu skaitu!")</f>
        <v>OK</v>
      </c>
      <c r="P26" s="1" t="str">
        <f>IF(J22+J23+J24+J25=J26+'2.1'!J28+'2.1'!J30+'2.1'!J31,"OK","Pārbaudi personas "&amp;J4&amp;" J24, J25, J28, J30, J31")</f>
        <v>OK</v>
      </c>
    </row>
    <row r="27" spans="1:16" s="1" customFormat="1" ht="25.5" customHeight="1">
      <c r="A27" s="627"/>
      <c r="B27" s="632"/>
      <c r="C27" s="659"/>
      <c r="D27" s="462" t="s">
        <v>163</v>
      </c>
      <c r="E27" s="468"/>
      <c r="F27" s="95" t="s">
        <v>356</v>
      </c>
      <c r="G27" s="63" t="s">
        <v>67</v>
      </c>
      <c r="H27" s="141">
        <v>0</v>
      </c>
      <c r="I27" s="141">
        <v>0</v>
      </c>
      <c r="J27" s="141">
        <v>0</v>
      </c>
      <c r="K27" s="141">
        <v>0</v>
      </c>
      <c r="L27" s="141">
        <v>0</v>
      </c>
      <c r="M27" s="142">
        <v>0</v>
      </c>
      <c r="N27" s="128" t="str">
        <f>IF(H27&lt;=H26,"OK","Bērnu ar garīga rakstura traucējumiem skaits pārsniedz kopējo bērnu ar invaliditāti skaitu!")</f>
        <v>OK</v>
      </c>
      <c r="P27" s="1" t="str">
        <f>IF(K22+K23+K24+K25=K26+'2.1'!K28+'2.1'!K30+'2.1'!K31,"OK","Pārbaudi personas "&amp;K4&amp;" K24, K25, K28, K30, K31")</f>
        <v>OK</v>
      </c>
    </row>
    <row r="28" spans="1:16" s="1" customFormat="1" ht="14.25" customHeight="1">
      <c r="A28" s="627"/>
      <c r="B28" s="632"/>
      <c r="C28" s="659"/>
      <c r="D28" s="462" t="s">
        <v>158</v>
      </c>
      <c r="E28" s="468"/>
      <c r="F28" s="96" t="s">
        <v>357</v>
      </c>
      <c r="G28" s="63" t="s">
        <v>67</v>
      </c>
      <c r="H28" s="141">
        <v>23</v>
      </c>
      <c r="I28" s="141">
        <v>0</v>
      </c>
      <c r="J28" s="141">
        <v>19</v>
      </c>
      <c r="K28" s="141">
        <v>0</v>
      </c>
      <c r="L28" s="141">
        <v>0</v>
      </c>
      <c r="M28" s="142">
        <v>0</v>
      </c>
      <c r="N28" s="128" t="str">
        <f>IF(H28&lt;=SUM(H24,H25),"OK","Pilngadīgu personu ar invaliditāti, kas saņēma klienta aprūpes pakalpojumu, skaits pārsniedz kopējo pakalpojumu saņēmušo pilngadīgo personu skaitu!")</f>
        <v>OK</v>
      </c>
      <c r="P28" s="1" t="str">
        <f>IF(L22+L23+L24+L25=L26+'2.1'!L28+'2.1'!L30+'2.1'!L31,"OK","Pārbaudi personas "&amp;L4&amp;" L24, L25, L28, L30, L31")</f>
        <v>OK</v>
      </c>
    </row>
    <row r="29" spans="1:16" s="1" customFormat="1" ht="25.5" customHeight="1">
      <c r="A29" s="627"/>
      <c r="B29" s="632"/>
      <c r="C29" s="659"/>
      <c r="D29" s="462" t="s">
        <v>159</v>
      </c>
      <c r="E29" s="468"/>
      <c r="F29" s="95" t="s">
        <v>358</v>
      </c>
      <c r="G29" s="63" t="s">
        <v>67</v>
      </c>
      <c r="H29" s="141">
        <v>0</v>
      </c>
      <c r="I29" s="141">
        <v>0</v>
      </c>
      <c r="J29" s="141">
        <v>8</v>
      </c>
      <c r="K29" s="141">
        <v>0</v>
      </c>
      <c r="L29" s="141">
        <v>0</v>
      </c>
      <c r="M29" s="142">
        <v>0</v>
      </c>
      <c r="N29" s="128" t="str">
        <f>IF(AND(H29&lt;=H28,I29&lt;=I28,J29&lt;=J28,K29&lt;=K28,L29&lt;=L28,M29&lt;=M28),"OK","Personu skaits ar garīga rakstura traucējumiem pārsniedz kopējo pilngadīgu personu ar invaliditāti skaitu!")</f>
        <v>OK</v>
      </c>
      <c r="P29" s="1" t="str">
        <f>IF(M22+M23+M24+M25=M26+'2.1'!M28+'2.1'!M30+'2.1'!M31,"OK","Pārbaudi personas "&amp;M4&amp;" M24, M25, M28, M30, M31")</f>
        <v>OK</v>
      </c>
    </row>
    <row r="30" spans="1:14" s="1" customFormat="1" ht="12.75">
      <c r="A30" s="627"/>
      <c r="B30" s="632"/>
      <c r="C30" s="659"/>
      <c r="D30" s="462" t="s">
        <v>160</v>
      </c>
      <c r="E30" s="468"/>
      <c r="F30" s="96" t="s">
        <v>359</v>
      </c>
      <c r="G30" s="63" t="s">
        <v>67</v>
      </c>
      <c r="H30" s="141">
        <v>29</v>
      </c>
      <c r="I30" s="141">
        <v>0</v>
      </c>
      <c r="J30" s="141">
        <v>65</v>
      </c>
      <c r="K30" s="141">
        <v>32</v>
      </c>
      <c r="L30" s="141">
        <v>0</v>
      </c>
      <c r="M30" s="142">
        <v>0</v>
      </c>
      <c r="N30" s="128" t="str">
        <f>IF(AND(H30&lt;=SUM(H24,H25),I30&lt;=SUM(I24,I25),J30&lt;=SUM(J24,J25),K30&lt;=SUM(K24,K25),L30&lt;=SUM(L24,L25),M30&lt;=SUM(M24,M25)),"OK","Pensijas vecuma personu, kas saņēma klienta aprūpes pakalpojumu, skaits pārsniedz kopējo pakalpojumu saņēmušo pilngadīgo personu skaitu!")</f>
        <v>OK</v>
      </c>
    </row>
    <row r="31" spans="1:14" s="1" customFormat="1" ht="12.75">
      <c r="A31" s="627"/>
      <c r="B31" s="632"/>
      <c r="C31" s="660"/>
      <c r="D31" s="462" t="s">
        <v>161</v>
      </c>
      <c r="E31" s="468"/>
      <c r="F31" s="92" t="s">
        <v>360</v>
      </c>
      <c r="G31" s="63" t="s">
        <v>67</v>
      </c>
      <c r="H31" s="141">
        <v>0</v>
      </c>
      <c r="I31" s="141">
        <v>0</v>
      </c>
      <c r="J31" s="141">
        <v>1</v>
      </c>
      <c r="K31" s="141">
        <v>0</v>
      </c>
      <c r="L31" s="141">
        <v>0</v>
      </c>
      <c r="M31" s="142">
        <v>0</v>
      </c>
      <c r="N31" s="128" t="str">
        <f>IF(AND(H31&lt;=H21,I31&lt;=I21,J31&lt;=J21,K31&lt;=K21,L31&lt;=L21,M31&lt;=M21),"OK","Citu personu skaits, kas saņēma klienta aprūpes pakalpojumu, pārsniedz kopējo  pakalpojumu saņēmušo personu skaitu!")</f>
        <v>OK</v>
      </c>
    </row>
    <row r="32" spans="1:14" s="1" customFormat="1" ht="39" customHeight="1">
      <c r="A32" s="628"/>
      <c r="B32" s="633"/>
      <c r="C32" s="462" t="s">
        <v>165</v>
      </c>
      <c r="D32" s="468"/>
      <c r="E32" s="468"/>
      <c r="F32" s="92" t="s">
        <v>361</v>
      </c>
      <c r="G32" s="63" t="s">
        <v>67</v>
      </c>
      <c r="H32" s="119">
        <f aca="true" t="shared" si="2" ref="H32:M32">H33+H34+H35</f>
        <v>15</v>
      </c>
      <c r="I32" s="119">
        <f t="shared" si="2"/>
        <v>0</v>
      </c>
      <c r="J32" s="119">
        <f t="shared" si="2"/>
        <v>2</v>
      </c>
      <c r="K32" s="119">
        <f t="shared" si="2"/>
        <v>0</v>
      </c>
      <c r="L32" s="119">
        <f t="shared" si="2"/>
        <v>0</v>
      </c>
      <c r="M32" s="125">
        <f t="shared" si="2"/>
        <v>0</v>
      </c>
      <c r="N32" s="128" t="str">
        <f>IF(AND(H32&lt;=H21,I32&lt;=I21,J32&lt;=J21,K32&lt;=K21,L32&lt;=L21,M32&lt;=M21),"OK","Personu skaits, kurām vides nepieejamības vai cita iemesla dēļ nav pārvietošanās iespēju ārpus mājas, ir lielāks kā kopējais pakalpojumu saņēmušo klientu skaits!")</f>
        <v>OK</v>
      </c>
    </row>
    <row r="33" spans="1:13" s="1" customFormat="1" ht="27" customHeight="1">
      <c r="A33" s="628"/>
      <c r="B33" s="633"/>
      <c r="C33" s="466" t="s">
        <v>105</v>
      </c>
      <c r="D33" s="462" t="s">
        <v>166</v>
      </c>
      <c r="E33" s="468"/>
      <c r="F33" s="96" t="s">
        <v>362</v>
      </c>
      <c r="G33" s="63" t="s">
        <v>67</v>
      </c>
      <c r="H33" s="141">
        <v>12</v>
      </c>
      <c r="I33" s="141">
        <v>0</v>
      </c>
      <c r="J33" s="141">
        <v>2</v>
      </c>
      <c r="K33" s="141">
        <v>0</v>
      </c>
      <c r="L33" s="141">
        <v>0</v>
      </c>
      <c r="M33" s="142">
        <v>0</v>
      </c>
    </row>
    <row r="34" spans="1:13" s="1" customFormat="1" ht="28.5" customHeight="1">
      <c r="A34" s="628"/>
      <c r="B34" s="633"/>
      <c r="C34" s="466"/>
      <c r="D34" s="462" t="s">
        <v>167</v>
      </c>
      <c r="E34" s="468"/>
      <c r="F34" s="96" t="s">
        <v>363</v>
      </c>
      <c r="G34" s="63" t="s">
        <v>67</v>
      </c>
      <c r="H34" s="141">
        <v>0</v>
      </c>
      <c r="I34" s="141">
        <v>0</v>
      </c>
      <c r="J34" s="141">
        <v>0</v>
      </c>
      <c r="K34" s="141">
        <v>0</v>
      </c>
      <c r="L34" s="141">
        <v>0</v>
      </c>
      <c r="M34" s="142">
        <v>0</v>
      </c>
    </row>
    <row r="35" spans="1:13" s="1" customFormat="1" ht="51" customHeight="1">
      <c r="A35" s="628"/>
      <c r="B35" s="633"/>
      <c r="C35" s="466"/>
      <c r="D35" s="462" t="s">
        <v>168</v>
      </c>
      <c r="E35" s="468"/>
      <c r="F35" s="96" t="s">
        <v>364</v>
      </c>
      <c r="G35" s="63" t="s">
        <v>67</v>
      </c>
      <c r="H35" s="141">
        <v>3</v>
      </c>
      <c r="I35" s="141">
        <v>0</v>
      </c>
      <c r="J35" s="141">
        <v>0</v>
      </c>
      <c r="K35" s="141">
        <v>0</v>
      </c>
      <c r="L35" s="141">
        <v>0</v>
      </c>
      <c r="M35" s="142">
        <v>0</v>
      </c>
    </row>
    <row r="36" spans="1:13" s="1" customFormat="1" ht="12.75" customHeight="1">
      <c r="A36" s="628"/>
      <c r="B36" s="633"/>
      <c r="C36" s="462" t="s">
        <v>169</v>
      </c>
      <c r="D36" s="468"/>
      <c r="E36" s="468"/>
      <c r="F36" s="92" t="s">
        <v>365</v>
      </c>
      <c r="G36" s="63" t="s">
        <v>67</v>
      </c>
      <c r="H36" s="119">
        <f aca="true" t="shared" si="3" ref="H36:M36">H37+H38</f>
        <v>0</v>
      </c>
      <c r="I36" s="119">
        <f t="shared" si="3"/>
        <v>0</v>
      </c>
      <c r="J36" s="119">
        <f t="shared" si="3"/>
        <v>0</v>
      </c>
      <c r="K36" s="119">
        <f t="shared" si="3"/>
        <v>0</v>
      </c>
      <c r="L36" s="119">
        <f t="shared" si="3"/>
        <v>0</v>
      </c>
      <c r="M36" s="125">
        <f t="shared" si="3"/>
        <v>0</v>
      </c>
    </row>
    <row r="37" spans="1:13" s="1" customFormat="1" ht="19.5" customHeight="1">
      <c r="A37" s="629"/>
      <c r="B37" s="634"/>
      <c r="C37" s="462" t="s">
        <v>170</v>
      </c>
      <c r="D37" s="54" t="s">
        <v>171</v>
      </c>
      <c r="E37" s="54"/>
      <c r="F37" s="96" t="s">
        <v>366</v>
      </c>
      <c r="G37" s="63" t="s">
        <v>67</v>
      </c>
      <c r="H37" s="141">
        <v>0</v>
      </c>
      <c r="I37" s="141">
        <v>0</v>
      </c>
      <c r="J37" s="141">
        <v>0</v>
      </c>
      <c r="K37" s="141">
        <v>0</v>
      </c>
      <c r="L37" s="141">
        <v>0</v>
      </c>
      <c r="M37" s="142">
        <v>0</v>
      </c>
    </row>
    <row r="38" spans="1:13" s="1" customFormat="1" ht="19.5" customHeight="1">
      <c r="A38" s="629"/>
      <c r="B38" s="634"/>
      <c r="C38" s="471"/>
      <c r="D38" s="54" t="s">
        <v>172</v>
      </c>
      <c r="E38" s="54"/>
      <c r="F38" s="96" t="s">
        <v>367</v>
      </c>
      <c r="G38" s="63" t="s">
        <v>67</v>
      </c>
      <c r="H38" s="141">
        <v>0</v>
      </c>
      <c r="I38" s="141">
        <v>0</v>
      </c>
      <c r="J38" s="141">
        <v>0</v>
      </c>
      <c r="K38" s="141">
        <v>0</v>
      </c>
      <c r="L38" s="141">
        <v>0</v>
      </c>
      <c r="M38" s="142">
        <v>0</v>
      </c>
    </row>
    <row r="39" spans="1:13" s="1" customFormat="1" ht="27" customHeight="1" thickBot="1">
      <c r="A39" s="630"/>
      <c r="B39" s="635"/>
      <c r="C39" s="473" t="s">
        <v>173</v>
      </c>
      <c r="D39" s="625"/>
      <c r="E39" s="625"/>
      <c r="F39" s="93" t="s">
        <v>368</v>
      </c>
      <c r="G39" s="69" t="s">
        <v>67</v>
      </c>
      <c r="H39" s="143">
        <v>0</v>
      </c>
      <c r="I39" s="143">
        <v>0</v>
      </c>
      <c r="J39" s="143">
        <v>0</v>
      </c>
      <c r="K39" s="143">
        <v>0</v>
      </c>
      <c r="L39" s="143">
        <v>0</v>
      </c>
      <c r="M39" s="144">
        <v>0</v>
      </c>
    </row>
    <row r="40" spans="6:7" s="1" customFormat="1" ht="25.5" customHeight="1">
      <c r="F40" s="94"/>
      <c r="G40" s="65"/>
    </row>
  </sheetData>
  <sheetProtection password="CE88" sheet="1" objects="1" scenarios="1"/>
  <mergeCells count="50">
    <mergeCell ref="C17:E17"/>
    <mergeCell ref="C33:C35"/>
    <mergeCell ref="D33:E33"/>
    <mergeCell ref="D34:E34"/>
    <mergeCell ref="D35:E35"/>
    <mergeCell ref="C21:E21"/>
    <mergeCell ref="D22:D23"/>
    <mergeCell ref="C32:E32"/>
    <mergeCell ref="D24:D25"/>
    <mergeCell ref="D26:E26"/>
    <mergeCell ref="D27:E27"/>
    <mergeCell ref="D28:E28"/>
    <mergeCell ref="C18:C20"/>
    <mergeCell ref="D18:E18"/>
    <mergeCell ref="D19:E19"/>
    <mergeCell ref="D20:E20"/>
    <mergeCell ref="C22:C25"/>
    <mergeCell ref="C26:C31"/>
    <mergeCell ref="D12:E12"/>
    <mergeCell ref="C12:C13"/>
    <mergeCell ref="C36:E36"/>
    <mergeCell ref="D13:E13"/>
    <mergeCell ref="B14:E14"/>
    <mergeCell ref="C15:E15"/>
    <mergeCell ref="C16:E16"/>
    <mergeCell ref="D29:E29"/>
    <mergeCell ref="D30:E30"/>
    <mergeCell ref="D31:E31"/>
    <mergeCell ref="B8:E8"/>
    <mergeCell ref="B9:E9"/>
    <mergeCell ref="D10:E10"/>
    <mergeCell ref="D11:E11"/>
    <mergeCell ref="H2:H4"/>
    <mergeCell ref="A2:E4"/>
    <mergeCell ref="I2:M2"/>
    <mergeCell ref="I3:I4"/>
    <mergeCell ref="J3:K3"/>
    <mergeCell ref="L3:M3"/>
    <mergeCell ref="F2:F4"/>
    <mergeCell ref="G2:G4"/>
    <mergeCell ref="C39:E39"/>
    <mergeCell ref="A15:A39"/>
    <mergeCell ref="B15:B39"/>
    <mergeCell ref="A5:A14"/>
    <mergeCell ref="B10:B13"/>
    <mergeCell ref="C10:C11"/>
    <mergeCell ref="C37:C38"/>
    <mergeCell ref="B5:E5"/>
    <mergeCell ref="B6:E6"/>
    <mergeCell ref="B7:E7"/>
  </mergeCells>
  <printOptions/>
  <pageMargins left="0.41" right="0.43" top="0.65" bottom="0.57" header="0.5" footer="0.34"/>
  <pageSetup horizontalDpi="1200" verticalDpi="1200" orientation="landscape" paperSize="9" r:id="rId1"/>
  <headerFooter alignWithMargins="0">
    <oddFooter>&amp;R8 - 9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Violeta Grīnberga</dc:creator>
  <cp:keywords/>
  <dc:description/>
  <cp:lastModifiedBy>Dina Romanovska</cp:lastModifiedBy>
  <cp:lastPrinted>2020-09-10T08:04:11Z</cp:lastPrinted>
  <dcterms:created xsi:type="dcterms:W3CDTF">1996-10-14T23:33:28Z</dcterms:created>
  <dcterms:modified xsi:type="dcterms:W3CDTF">2022-06-01T10:33:30Z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